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P-HP\compartilhada\AAACONCEIÇÃO SREG\Prefeito\"/>
    </mc:Choice>
  </mc:AlternateContent>
  <bookViews>
    <workbookView xWindow="-105" yWindow="-105" windowWidth="19425" windowHeight="10425"/>
  </bookViews>
  <sheets>
    <sheet name="Fila de espera rede" sheetId="3" r:id="rId1"/>
    <sheet name="CENTROS de REAB" sheetId="4" r:id="rId2"/>
    <sheet name="Planilha1" sheetId="8" r:id="rId3"/>
  </sheets>
  <definedNames>
    <definedName name="_xlnm._FilterDatabase" localSheetId="0" hidden="1">'Fila de espera rede'!$A$3:$F$92</definedName>
    <definedName name="_xlnm.Print_Area" localSheetId="0">'Fila de espera rede'!$A$1:$F$92</definedName>
  </definedNames>
  <calcPr calcId="162913"/>
</workbook>
</file>

<file path=xl/calcChain.xml><?xml version="1.0" encoding="utf-8"?>
<calcChain xmlns="http://schemas.openxmlformats.org/spreadsheetml/2006/main">
  <c r="F25" i="3" l="1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7" i="3"/>
  <c r="F5" i="3"/>
  <c r="F6" i="3"/>
  <c r="F8" i="3"/>
  <c r="F9" i="3"/>
  <c r="F10" i="3"/>
  <c r="F11" i="3"/>
  <c r="F12" i="3"/>
  <c r="F13" i="3"/>
  <c r="F14" i="3"/>
  <c r="F15" i="3"/>
  <c r="F16" i="3"/>
  <c r="F18" i="3"/>
  <c r="F23" i="3"/>
  <c r="F24" i="3"/>
  <c r="C85" i="3" l="1"/>
  <c r="C81" i="3"/>
  <c r="C78" i="3"/>
  <c r="C77" i="3"/>
  <c r="C75" i="3"/>
  <c r="C74" i="3"/>
  <c r="C73" i="3"/>
  <c r="C72" i="3"/>
  <c r="C70" i="3"/>
  <c r="C64" i="3"/>
  <c r="C61" i="3"/>
  <c r="C60" i="3"/>
  <c r="C56" i="3"/>
  <c r="C55" i="3"/>
  <c r="C53" i="3"/>
  <c r="C52" i="3"/>
  <c r="C51" i="3"/>
  <c r="C49" i="3"/>
  <c r="C46" i="3"/>
  <c r="C43" i="3"/>
  <c r="C42" i="3"/>
  <c r="C41" i="3"/>
  <c r="C39" i="3"/>
  <c r="C38" i="3"/>
  <c r="C35" i="3"/>
  <c r="C33" i="3"/>
  <c r="C32" i="3"/>
  <c r="B30" i="3"/>
  <c r="C29" i="3"/>
  <c r="C28" i="3"/>
  <c r="C17" i="3"/>
  <c r="F17" i="3" s="1"/>
  <c r="C4" i="3"/>
  <c r="F4" i="3" s="1"/>
  <c r="B11" i="8" l="1"/>
  <c r="C30" i="3" l="1"/>
  <c r="B14" i="4" l="1"/>
  <c r="B28" i="4" l="1"/>
  <c r="B41" i="4" l="1"/>
  <c r="B43" i="4" l="1"/>
  <c r="B87" i="3" l="1"/>
  <c r="E87" i="3" l="1"/>
  <c r="J92" i="3" l="1"/>
  <c r="H10" i="3" l="1"/>
  <c r="C87" i="3" l="1"/>
  <c r="F87" i="3" s="1"/>
</calcChain>
</file>

<file path=xl/sharedStrings.xml><?xml version="1.0" encoding="utf-8"?>
<sst xmlns="http://schemas.openxmlformats.org/spreadsheetml/2006/main" count="202" uniqueCount="130">
  <si>
    <t>CONSULTA EM CIRURGIA PEDIATRICA</t>
  </si>
  <si>
    <t>CONSULTA EM PSIQUIATRIA - PEDIATRICA</t>
  </si>
  <si>
    <t>CONSULTA EM BUCO-MAXILO FACIAL</t>
  </si>
  <si>
    <t>CONSULTA EM CARDIOLOGIA</t>
  </si>
  <si>
    <t>CONSULTA EM CIRURGIA GINECOLOGICA</t>
  </si>
  <si>
    <t>CONSULTA EM CLINICA GERAL</t>
  </si>
  <si>
    <t>CONSULTA EM ENDOCRINOLOGIA</t>
  </si>
  <si>
    <t>CONSULTA EM ENDODONTIA</t>
  </si>
  <si>
    <t>CONSULTA EM GINECOLOGIA</t>
  </si>
  <si>
    <t>CONSULTA EM NUTRICAO - PEDIATRIA</t>
  </si>
  <si>
    <t>CONSULTA EM ODONTOLOGIA</t>
  </si>
  <si>
    <t>CONSULTA EM ODONTOLOGIA - PEDIATRIA</t>
  </si>
  <si>
    <t>CONSULTA EM OTORRINOLARINGOLOGIA</t>
  </si>
  <si>
    <t>CONSULTA EM PRE-NATAL DE ALTO RISCO</t>
  </si>
  <si>
    <t>CONSULTA EM PROCTOLOGIA ADULTO</t>
  </si>
  <si>
    <t>CONSULTA EM PSIQUIATRIA</t>
  </si>
  <si>
    <t>CONSULTA EM REUMATOLOGIA</t>
  </si>
  <si>
    <t>CONSULTA EM UROLOGIA</t>
  </si>
  <si>
    <t>ENDOSCOPIA DIGESTIVA ALTA</t>
  </si>
  <si>
    <t>PROVA DE FUNCAO PULMONAR COMPLETA C/ BRONCODILATADOR</t>
  </si>
  <si>
    <t>PROCEDIMENTOS</t>
  </si>
  <si>
    <t>QUANT.</t>
  </si>
  <si>
    <t>EXAMES ULTRASSONOGRAFICOS (DIVERSOS)</t>
  </si>
  <si>
    <t xml:space="preserve">CONSULTA EM OFTALMOLOGIA </t>
  </si>
  <si>
    <t xml:space="preserve">CONSULTA EM PROTESE DENTARIA </t>
  </si>
  <si>
    <t>ECOCARDIOGRAFIA</t>
  </si>
  <si>
    <t xml:space="preserve">CONSULTA EM MASTOLOGIA </t>
  </si>
  <si>
    <t xml:space="preserve">CONSULTA EM PEDIATRIA </t>
  </si>
  <si>
    <t xml:space="preserve">CONSULTA EM NEUROLOGIA </t>
  </si>
  <si>
    <t>CONSULTA EM NEUROLOGIA - PEDIATRICA</t>
  </si>
  <si>
    <t>CONSULTA EM CIRURGIA  VESICULA</t>
  </si>
  <si>
    <t>EMISSOES OTOACUSTICAS (TESTE DA ORELHINHA)</t>
  </si>
  <si>
    <t>CONSULTA EM GERIATRIA</t>
  </si>
  <si>
    <t xml:space="preserve">ELETROCARDIOGRAMA </t>
  </si>
  <si>
    <t xml:space="preserve">CONSULTA EM PNEUMOLOGIA </t>
  </si>
  <si>
    <t>TRIAGEM PARA REABILITAÇÃO  FISICA E INTELECTUAL</t>
  </si>
  <si>
    <t xml:space="preserve">DENSITOMETRIA OSSEA </t>
  </si>
  <si>
    <t>CONSULTA EM ASSISTENCIA SOCIAL</t>
  </si>
  <si>
    <t>TOTAL</t>
  </si>
  <si>
    <t>exame</t>
  </si>
  <si>
    <t>consulta</t>
  </si>
  <si>
    <t>RADIODIAGNOSTICO</t>
  </si>
  <si>
    <t>Tipo</t>
  </si>
  <si>
    <t>Percentual</t>
  </si>
  <si>
    <t xml:space="preserve">CONSULTA EM PRE-NATAL </t>
  </si>
  <si>
    <t>CONSULTA EM NUTRICAO</t>
  </si>
  <si>
    <t>Tempo médio de espera/Mês</t>
  </si>
  <si>
    <t>COLETA  LABORATORIAL</t>
  </si>
  <si>
    <t>MAMOGRAFIA BILATERAL</t>
  </si>
  <si>
    <t>COLPOSCOPIA</t>
  </si>
  <si>
    <t xml:space="preserve">Fila zero - atendimento dentro do mês </t>
  </si>
  <si>
    <t>Fila Controlada - atendimento entre 1 e 2 meses</t>
  </si>
  <si>
    <t>Fila Preocupante - Atendimento entre 2,1 e 3,5 meses</t>
  </si>
  <si>
    <t>Fila Crítica - Atendimento entre 3,5 e 4,5 meses</t>
  </si>
  <si>
    <t>Fila sem resolutividade para a saúde do usuário - acima de 4,5 meses</t>
  </si>
  <si>
    <t>CONSULTA EM ORTOPEDIA - JOELHO</t>
  </si>
  <si>
    <t>CONSULTA EM ORTOPEDIA - PE E TORNOZELO</t>
  </si>
  <si>
    <t>CONSULTA EM ORTOPEDIA GERAL</t>
  </si>
  <si>
    <t xml:space="preserve">CITOLOGIA ONCOTICA </t>
  </si>
  <si>
    <t xml:space="preserve">EXAMES ULTRASSONOGRAFICOS (DOPPLER) </t>
  </si>
  <si>
    <t>COR????</t>
  </si>
  <si>
    <t>CONSULTA EM OFTALMOLOGIA - AMBULATORIO DE RETINA SEOPE</t>
  </si>
  <si>
    <t>CONSULTA EM DERMATOLOGIA</t>
  </si>
  <si>
    <t>CONSULTA EM GASTROENTEROLOGIA</t>
  </si>
  <si>
    <t>CONSULTA EM OFTALMOLOGIA - AMBULATORIO DE PLASTICA (SEOPE)</t>
  </si>
  <si>
    <t>CONSULTA EM OFTALMOLOGIA - AMBULATORIO DE ESTRABISMO (SEOPE)</t>
  </si>
  <si>
    <t>CONSULTA EM OFTALMOLOGIA - AMBULATORIO DE CORNEA (SEOPE)</t>
  </si>
  <si>
    <t>CONSULTA EM CIRURGIA GERAL - HERNIA</t>
  </si>
  <si>
    <t>TOMOGRAFIA COMPUTADORIZADA S/CONTRASTE</t>
  </si>
  <si>
    <t>CONSULTA EM UROGINECOLOGIA</t>
  </si>
  <si>
    <t>CONSULTA EM ODONTOLOGIA - PERIODONTIA</t>
  </si>
  <si>
    <t>HEBIATRIA</t>
  </si>
  <si>
    <t>oferta mês estimada</t>
  </si>
  <si>
    <t>CONSULTA EM FONOAUDIOLOGIA - Amb. Marrinha Melo</t>
  </si>
  <si>
    <t>CONSULTA EM OFTALMOLOGIA - AMBULATORIO DE LENTE DE CONTATO (SEOPE)</t>
  </si>
  <si>
    <t>CONSULTA EM ANGIOLOGIA</t>
  </si>
  <si>
    <t>CONSULTA EM PSICOLOGIA - PEDIATRIA - Amb. PCA e PLT</t>
  </si>
  <si>
    <t>INSERCAO DE DIU</t>
  </si>
  <si>
    <t>PALESTRA - PLANEJAMENTO FAMILIAR</t>
  </si>
  <si>
    <t>CONSULTA EM OFTALMOLOGIA - AMBULATORIO DE GLAUCOMA (SEOPE)</t>
  </si>
  <si>
    <t>Centro de Reabilitação - Antonio Caldas de sá Barreto</t>
  </si>
  <si>
    <t xml:space="preserve">Procedimento </t>
  </si>
  <si>
    <t>Qtd. Sol</t>
  </si>
  <si>
    <t>CONSULTA EM PSICOLOGIA ADOLECENTE</t>
  </si>
  <si>
    <t>CONSULTA EM PSICOLOGIA ADULTO</t>
  </si>
  <si>
    <t>CONSULTA EM PSICOLOGIA INFANTIL</t>
  </si>
  <si>
    <t>Total</t>
  </si>
  <si>
    <t>Centro de Reabilitação - Francisco Loureiro</t>
  </si>
  <si>
    <t>CONSULTA EM FONOAUDIOLOGIA  ADULTO</t>
  </si>
  <si>
    <t>CONSULTA EM FONOAUDIOLOGIA INFANTIL</t>
  </si>
  <si>
    <t>CONSULTA EM PISICOLOGIA INFANTIL</t>
  </si>
  <si>
    <t>FISIOTERAPIA MOTORA</t>
  </si>
  <si>
    <t>FISIOTERAPIA REUMATOLOGICA</t>
  </si>
  <si>
    <t>Centro de Reabilitação - Massangana</t>
  </si>
  <si>
    <t>CONSULTA EM FONOAUDIOLOGIA ADULTO</t>
  </si>
  <si>
    <t>CONSULTA EM TERAPIA OCUPACIONAL ADULTO</t>
  </si>
  <si>
    <t>CONSULTA EM TERAPIA OCUPACIONAL INFANTIL</t>
  </si>
  <si>
    <t>TRIAGEM CONSULTA PSICOLOGIA INFANTIL</t>
  </si>
  <si>
    <t>Total Geral</t>
  </si>
  <si>
    <t>CONSULTA EM FISIOTERAPIA NEUROLOGICA - ADULTO</t>
  </si>
  <si>
    <t>CONSULTA EM FISIOTERAPIA ORTOPEDICA - ADULTO</t>
  </si>
  <si>
    <t>CONSULTA EM FISIOTERAPIA ORTOPEDICA - INFANTIL</t>
  </si>
  <si>
    <t>CONSULTA EM FISIOTERAPIA REUMATOLOGICA  - ADULTO</t>
  </si>
  <si>
    <t>CONSULTA EM FONOAUDIOLOGIA - REABILITACAO - PPI</t>
  </si>
  <si>
    <t>FISIOTERAPIA NEUROLOGICA</t>
  </si>
  <si>
    <t>CONSULTA EM FISIOTERAPIA NEUROLOGICA</t>
  </si>
  <si>
    <t>CONSULTA EM FISIOTERAPIA ORTOPEDICA</t>
  </si>
  <si>
    <t>CONSULTA EM FISIOTERAPIA REUMATOLOGICA</t>
  </si>
  <si>
    <t>TRIAGEM CONSULTA PSICOLOGIA</t>
  </si>
  <si>
    <t>CIRURGIA UROLÓGICA - VASECTOMIA</t>
  </si>
  <si>
    <t>EXAMES ULTRASSONOGRAFICOS (OBSTETRICA)</t>
  </si>
  <si>
    <t>CONSULTA EM PSICOLOGIA - Amb. Carneiro Lins/Leopoldina</t>
  </si>
  <si>
    <t>CARDIOLOGIA - ADULTO - PARECER</t>
  </si>
  <si>
    <t>CINTILOGRAFIA (PPI RECIFE)</t>
  </si>
  <si>
    <t>POLISSONOGRAFIA (PPI RECIFE)</t>
  </si>
  <si>
    <t>CONSULTA EM ALERGIA RESPIRATORIA PEDIATRIA (PPI RECIFE)</t>
  </si>
  <si>
    <t>CONSULTA EM ALERGIA DERMATOLOGICA PEDIATRIA (PPI RECIFE)</t>
  </si>
  <si>
    <t>CONSULTA EM ALERGIA RESPIRATORIA ADULTO (PPI RECIFE)</t>
  </si>
  <si>
    <t>CONSULTA EM ALERGIA DERMATOLOGICA ADULTO (PPI RECIFE)</t>
  </si>
  <si>
    <t>RESSONANCIA MAGNETICA (PPI RECIFE / ESTADO)</t>
  </si>
  <si>
    <t>CONSULTA EM ANGIOLOGIA  (PPI RECIFE) - Indicação Cirúrgica</t>
  </si>
  <si>
    <t>CONSULTA EM CIRURGIA VASCULAR - ADULTO (PPI RECIFE)</t>
  </si>
  <si>
    <t>ELETRONEUROMIOGRAFIA (PPI RECIFE) - sem oferta</t>
  </si>
  <si>
    <t>CONSULTA EM DERMATOLOGIA - PEDIATRICA</t>
  </si>
  <si>
    <t>CONSULTA EM FONOAUDIOLOGIA - TESTE DA LINGUINHA</t>
  </si>
  <si>
    <t>DTM DISFUNÃ‡ÃƒO TEMPOROMANDIBULAR</t>
  </si>
  <si>
    <t>CONSULTA EM NEUROLOGIA - PEDIATRICA - RETORNO</t>
  </si>
  <si>
    <t>FILA DE ESPERA ATUALIZADA EM 11.03.2025 - SISREG III</t>
  </si>
  <si>
    <t xml:space="preserve">TOMOGRAFIA COMPUTADORIZADA CONTRASTE </t>
  </si>
  <si>
    <t>Regulação Regional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</si>
</sst>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5" formatCode="_-* #,##0_-;\-* #,##0_-;_-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9" tint="0.3999755851924192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8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</borders>
  <cellStyleXfs count="45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85">
    <xf numFmtId="0" fontId="0" fillId="0" borderId="0" xfId="0"/>
    <xf numFmtId="0" fontId="0" fillId="37" borderId="0" xfId="0" applyFill="1"/>
    <xf numFmtId="0" fontId="14" fillId="0" borderId="0" xfId="0" applyFont="1"/>
    <xf numFmtId="9" fontId="0" fillId="0" borderId="11" xfId="1" applyFont="1" applyBorder="1" applyAlignment="1">
      <alignment horizontal="center" vertical="center"/>
    </xf>
    <xf numFmtId="0" fontId="0" fillId="33" borderId="11" xfId="0" applyFill="1" applyBorder="1" applyAlignment="1">
      <alignment horizontal="center" vertical="center"/>
    </xf>
    <xf numFmtId="9" fontId="0" fillId="33" borderId="11" xfId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35" borderId="11" xfId="0" applyFill="1" applyBorder="1" applyAlignment="1">
      <alignment horizontal="center" vertical="center"/>
    </xf>
    <xf numFmtId="0" fontId="0" fillId="36" borderId="11" xfId="0" applyFill="1" applyBorder="1" applyAlignment="1">
      <alignment horizontal="center" vertical="center"/>
    </xf>
    <xf numFmtId="43" fontId="0" fillId="0" borderId="0" xfId="43" applyFont="1" applyAlignment="1">
      <alignment horizontal="center" vertical="center"/>
    </xf>
    <xf numFmtId="0" fontId="0" fillId="0" borderId="0" xfId="0" applyAlignment="1">
      <alignment vertical="center"/>
    </xf>
    <xf numFmtId="0" fontId="0" fillId="41" borderId="11" xfId="0" applyFill="1" applyBorder="1" applyAlignment="1">
      <alignment horizontal="center" vertical="center"/>
    </xf>
    <xf numFmtId="3" fontId="0" fillId="0" borderId="0" xfId="0" applyNumberFormat="1"/>
    <xf numFmtId="43" fontId="0" fillId="0" borderId="0" xfId="43" applyFont="1"/>
    <xf numFmtId="9" fontId="0" fillId="0" borderId="11" xfId="1" applyFont="1" applyFill="1" applyBorder="1" applyAlignment="1">
      <alignment horizontal="center" vertical="center"/>
    </xf>
    <xf numFmtId="9" fontId="0" fillId="35" borderId="11" xfId="1" applyFont="1" applyFill="1" applyBorder="1" applyAlignment="1">
      <alignment horizontal="center" vertical="center"/>
    </xf>
    <xf numFmtId="0" fontId="18" fillId="34" borderId="10" xfId="0" applyFont="1" applyFill="1" applyBorder="1" applyAlignment="1">
      <alignment horizontal="right" vertical="center"/>
    </xf>
    <xf numFmtId="3" fontId="18" fillId="34" borderId="11" xfId="0" applyNumberFormat="1" applyFont="1" applyFill="1" applyBorder="1" applyAlignment="1">
      <alignment horizontal="center"/>
    </xf>
    <xf numFmtId="0" fontId="0" fillId="0" borderId="11" xfId="0" applyBorder="1"/>
    <xf numFmtId="0" fontId="0" fillId="0" borderId="10" xfId="0" applyBorder="1" applyAlignment="1">
      <alignment vertical="center" wrapText="1"/>
    </xf>
    <xf numFmtId="0" fontId="0" fillId="42" borderId="10" xfId="0" applyFill="1" applyBorder="1" applyAlignment="1">
      <alignment vertical="center" wrapText="1"/>
    </xf>
    <xf numFmtId="0" fontId="19" fillId="42" borderId="10" xfId="0" applyFont="1" applyFill="1" applyBorder="1" applyAlignment="1">
      <alignment vertical="center" wrapText="1"/>
    </xf>
    <xf numFmtId="0" fontId="19" fillId="42" borderId="10" xfId="0" applyFont="1" applyFill="1" applyBorder="1" applyAlignment="1">
      <alignment horizontal="left" vertical="center" wrapText="1"/>
    </xf>
    <xf numFmtId="0" fontId="0" fillId="42" borderId="10" xfId="0" applyFill="1" applyBorder="1" applyAlignment="1">
      <alignment horizontal="left"/>
    </xf>
    <xf numFmtId="0" fontId="13" fillId="43" borderId="19" xfId="0" applyFont="1" applyFill="1" applyBorder="1" applyAlignment="1">
      <alignment horizontal="left"/>
    </xf>
    <xf numFmtId="0" fontId="13" fillId="43" borderId="20" xfId="0" applyFont="1" applyFill="1" applyBorder="1" applyAlignment="1">
      <alignment horizontal="center"/>
    </xf>
    <xf numFmtId="0" fontId="0" fillId="0" borderId="19" xfId="0" applyBorder="1" applyAlignment="1">
      <alignment horizontal="left" indent="1"/>
    </xf>
    <xf numFmtId="0" fontId="13" fillId="43" borderId="12" xfId="0" applyFont="1" applyFill="1" applyBorder="1" applyAlignment="1">
      <alignment horizontal="center"/>
    </xf>
    <xf numFmtId="0" fontId="17" fillId="43" borderId="19" xfId="0" applyFont="1" applyFill="1" applyBorder="1" applyAlignment="1">
      <alignment horizontal="left" indent="1"/>
    </xf>
    <xf numFmtId="0" fontId="17" fillId="43" borderId="20" xfId="0" applyFont="1" applyFill="1" applyBorder="1" applyAlignment="1">
      <alignment horizontal="center"/>
    </xf>
    <xf numFmtId="0" fontId="0" fillId="0" borderId="20" xfId="0" applyBorder="1"/>
    <xf numFmtId="0" fontId="0" fillId="0" borderId="19" xfId="0" applyBorder="1"/>
    <xf numFmtId="0" fontId="22" fillId="34" borderId="21" xfId="0" applyFont="1" applyFill="1" applyBorder="1"/>
    <xf numFmtId="3" fontId="22" fillId="34" borderId="22" xfId="0" applyNumberFormat="1" applyFont="1" applyFill="1" applyBorder="1" applyAlignment="1">
      <alignment horizontal="center"/>
    </xf>
    <xf numFmtId="0" fontId="23" fillId="0" borderId="0" xfId="0" applyFont="1"/>
    <xf numFmtId="3" fontId="0" fillId="44" borderId="11" xfId="0" applyNumberFormat="1" applyFill="1" applyBorder="1" applyAlignment="1">
      <alignment horizontal="center"/>
    </xf>
    <xf numFmtId="3" fontId="0" fillId="44" borderId="11" xfId="0" applyNumberFormat="1" applyFill="1" applyBorder="1" applyAlignment="1">
      <alignment horizontal="center" vertical="center"/>
    </xf>
    <xf numFmtId="9" fontId="0" fillId="36" borderId="11" xfId="1" applyFont="1" applyFill="1" applyBorder="1" applyAlignment="1">
      <alignment horizontal="center" vertical="center"/>
    </xf>
    <xf numFmtId="0" fontId="24" fillId="0" borderId="0" xfId="0" applyFont="1"/>
    <xf numFmtId="9" fontId="0" fillId="0" borderId="0" xfId="1" applyFont="1"/>
    <xf numFmtId="3" fontId="19" fillId="44" borderId="11" xfId="0" applyNumberFormat="1" applyFont="1" applyFill="1" applyBorder="1" applyAlignment="1">
      <alignment horizontal="center" vertical="center"/>
    </xf>
    <xf numFmtId="0" fontId="13" fillId="34" borderId="10" xfId="0" applyFont="1" applyFill="1" applyBorder="1" applyAlignment="1">
      <alignment horizontal="center" vertical="center"/>
    </xf>
    <xf numFmtId="0" fontId="13" fillId="34" borderId="11" xfId="0" applyFont="1" applyFill="1" applyBorder="1" applyAlignment="1">
      <alignment horizontal="center" vertical="center"/>
    </xf>
    <xf numFmtId="3" fontId="13" fillId="34" borderId="11" xfId="0" applyNumberFormat="1" applyFont="1" applyFill="1" applyBorder="1" applyAlignment="1">
      <alignment horizontal="center" vertical="center" wrapText="1"/>
    </xf>
    <xf numFmtId="43" fontId="13" fillId="34" borderId="12" xfId="43" applyFont="1" applyFill="1" applyBorder="1" applyAlignment="1">
      <alignment horizontal="center" vertical="center" wrapText="1"/>
    </xf>
    <xf numFmtId="9" fontId="0" fillId="41" borderId="11" xfId="1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26" xfId="0" applyBorder="1" applyAlignment="1">
      <alignment vertical="center" wrapText="1"/>
    </xf>
    <xf numFmtId="0" fontId="0" fillId="42" borderId="0" xfId="0" applyFill="1"/>
    <xf numFmtId="0" fontId="14" fillId="45" borderId="10" xfId="0" applyFont="1" applyFill="1" applyBorder="1" applyAlignment="1">
      <alignment vertical="center" wrapText="1"/>
    </xf>
    <xf numFmtId="3" fontId="0" fillId="45" borderId="11" xfId="0" applyNumberFormat="1" applyFill="1" applyBorder="1" applyAlignment="1">
      <alignment horizontal="center"/>
    </xf>
    <xf numFmtId="3" fontId="14" fillId="45" borderId="11" xfId="0" applyNumberFormat="1" applyFont="1" applyFill="1" applyBorder="1" applyAlignment="1">
      <alignment horizontal="center"/>
    </xf>
    <xf numFmtId="0" fontId="20" fillId="40" borderId="28" xfId="0" applyFont="1" applyFill="1" applyBorder="1" applyAlignment="1">
      <alignment horizontal="center"/>
    </xf>
    <xf numFmtId="0" fontId="20" fillId="40" borderId="0" xfId="0" applyFont="1" applyFill="1" applyAlignment="1">
      <alignment horizontal="center"/>
    </xf>
    <xf numFmtId="0" fontId="20" fillId="40" borderId="20" xfId="0" applyFont="1" applyFill="1" applyBorder="1" applyAlignment="1">
      <alignment horizontal="center"/>
    </xf>
    <xf numFmtId="0" fontId="0" fillId="38" borderId="28" xfId="0" applyFill="1" applyBorder="1" applyAlignment="1">
      <alignment horizontal="center"/>
    </xf>
    <xf numFmtId="0" fontId="0" fillId="38" borderId="0" xfId="0" applyFill="1" applyAlignment="1">
      <alignment horizontal="center"/>
    </xf>
    <xf numFmtId="0" fontId="0" fillId="38" borderId="20" xfId="0" applyFill="1" applyBorder="1" applyAlignment="1">
      <alignment horizontal="center"/>
    </xf>
    <xf numFmtId="0" fontId="0" fillId="39" borderId="29" xfId="0" applyFill="1" applyBorder="1" applyAlignment="1">
      <alignment horizontal="center"/>
    </xf>
    <xf numFmtId="0" fontId="0" fillId="39" borderId="30" xfId="0" applyFill="1" applyBorder="1" applyAlignment="1">
      <alignment horizontal="center"/>
    </xf>
    <xf numFmtId="0" fontId="0" fillId="39" borderId="22" xfId="0" applyFill="1" applyBorder="1" applyAlignment="1">
      <alignment horizontal="center"/>
    </xf>
    <xf numFmtId="0" fontId="18" fillId="34" borderId="23" xfId="0" applyFont="1" applyFill="1" applyBorder="1" applyAlignment="1">
      <alignment horizontal="center" vertical="center"/>
    </xf>
    <xf numFmtId="0" fontId="18" fillId="34" borderId="24" xfId="0" applyFont="1" applyFill="1" applyBorder="1" applyAlignment="1">
      <alignment horizontal="center" vertical="center"/>
    </xf>
    <xf numFmtId="0" fontId="18" fillId="34" borderId="25" xfId="0" applyFont="1" applyFill="1" applyBorder="1" applyAlignment="1">
      <alignment horizontal="center" vertical="center"/>
    </xf>
    <xf numFmtId="0" fontId="18" fillId="34" borderId="10" xfId="0" applyFont="1" applyFill="1" applyBorder="1" applyAlignment="1">
      <alignment horizontal="center" vertical="center"/>
    </xf>
    <xf numFmtId="0" fontId="18" fillId="34" borderId="11" xfId="0" applyFont="1" applyFill="1" applyBorder="1" applyAlignment="1">
      <alignment horizontal="center" vertical="center"/>
    </xf>
    <xf numFmtId="0" fontId="18" fillId="34" borderId="12" xfId="0" applyFont="1" applyFill="1" applyBorder="1" applyAlignment="1">
      <alignment horizontal="center" vertical="center"/>
    </xf>
    <xf numFmtId="3" fontId="14" fillId="45" borderId="11" xfId="0" applyNumberFormat="1" applyFont="1" applyFill="1" applyBorder="1" applyAlignment="1">
      <alignment horizontal="center" vertical="center"/>
    </xf>
    <xf numFmtId="0" fontId="0" fillId="37" borderId="27" xfId="0" applyFill="1" applyBorder="1" applyAlignment="1">
      <alignment horizontal="center"/>
    </xf>
    <xf numFmtId="0" fontId="0" fillId="37" borderId="15" xfId="0" applyFill="1" applyBorder="1" applyAlignment="1">
      <alignment horizontal="center"/>
    </xf>
    <xf numFmtId="0" fontId="0" fillId="37" borderId="16" xfId="0" applyFill="1" applyBorder="1" applyAlignment="1">
      <alignment horizontal="center"/>
    </xf>
    <xf numFmtId="0" fontId="0" fillId="33" borderId="28" xfId="0" applyFill="1" applyBorder="1" applyAlignment="1">
      <alignment horizontal="center"/>
    </xf>
    <xf numFmtId="0" fontId="0" fillId="33" borderId="0" xfId="0" applyFill="1" applyAlignment="1">
      <alignment horizontal="center"/>
    </xf>
    <xf numFmtId="0" fontId="0" fillId="33" borderId="20" xfId="0" applyFill="1" applyBorder="1" applyAlignment="1">
      <alignment horizontal="center"/>
    </xf>
    <xf numFmtId="0" fontId="18" fillId="34" borderId="17" xfId="0" applyFont="1" applyFill="1" applyBorder="1" applyAlignment="1">
      <alignment horizontal="center" vertical="center"/>
    </xf>
    <xf numFmtId="0" fontId="18" fillId="34" borderId="18" xfId="0" applyFont="1" applyFill="1" applyBorder="1" applyAlignment="1">
      <alignment horizontal="center" vertical="center"/>
    </xf>
    <xf numFmtId="0" fontId="18" fillId="34" borderId="13" xfId="0" applyFont="1" applyFill="1" applyBorder="1" applyAlignment="1">
      <alignment horizontal="center" vertical="center"/>
    </xf>
    <xf numFmtId="0" fontId="18" fillId="34" borderId="14" xfId="0" applyFont="1" applyFill="1" applyBorder="1" applyAlignment="1">
      <alignment horizontal="center" vertical="center"/>
    </xf>
    <xf numFmtId="0" fontId="13" fillId="34" borderId="19" xfId="0" applyFont="1" applyFill="1" applyBorder="1" applyAlignment="1">
      <alignment horizontal="center"/>
    </xf>
    <xf numFmtId="0" fontId="13" fillId="34" borderId="20" xfId="0" applyFont="1" applyFill="1" applyBorder="1" applyAlignment="1">
      <alignment horizontal="center"/>
    </xf>
    <xf numFmtId="165" fontId="0" fillId="0" borderId="12" xfId="43" applyNumberFormat="1" applyFont="1" applyBorder="1" applyAlignment="1">
      <alignment horizontal="center" vertical="center"/>
    </xf>
    <xf numFmtId="165" fontId="0" fillId="0" borderId="12" xfId="43" applyNumberFormat="1" applyFont="1" applyBorder="1" applyAlignment="1">
      <alignment horizontal="center" vertical="center"/>
    </xf>
    <xf numFmtId="0" fontId="14" fillId="40" borderId="0" xfId="0" applyFont="1" applyFill="1" applyAlignment="1">
      <alignment horizontal="center" vertical="center" wrapText="1"/>
    </xf>
    <xf numFmtId="0" fontId="19" fillId="0" borderId="10" xfId="0" applyFont="1" applyFill="1" applyBorder="1" applyAlignment="1">
      <alignment vertical="center" wrapText="1"/>
    </xf>
    <xf numFmtId="0" fontId="0" fillId="0" borderId="10" xfId="0" applyFont="1" applyFill="1" applyBorder="1" applyAlignment="1">
      <alignment vertical="center" wrapText="1"/>
    </xf>
  </cellXfs>
  <cellStyles count="45">
    <cellStyle name="20% - Ênfase1" xfId="20" builtinId="30" customBuiltin="1"/>
    <cellStyle name="20% - Ênfase2" xfId="24" builtinId="34" customBuiltin="1"/>
    <cellStyle name="20% - Ênfase3" xfId="28" builtinId="38" customBuiltin="1"/>
    <cellStyle name="20% - Ênfase4" xfId="32" builtinId="42" customBuiltin="1"/>
    <cellStyle name="20% - Ênfase5" xfId="36" builtinId="46" customBuiltin="1"/>
    <cellStyle name="20% - Ênfase6" xfId="40" builtinId="50" customBuiltin="1"/>
    <cellStyle name="40% - Ênfase1" xfId="21" builtinId="31" customBuiltin="1"/>
    <cellStyle name="40% - Ênfase2" xfId="25" builtinId="35" customBuiltin="1"/>
    <cellStyle name="40% - Ênfase3" xfId="29" builtinId="39" customBuiltin="1"/>
    <cellStyle name="40% - Ênfase4" xfId="33" builtinId="43" customBuiltin="1"/>
    <cellStyle name="40% - Ênfase5" xfId="37" builtinId="47" customBuiltin="1"/>
    <cellStyle name="40% - Ênfase6" xfId="41" builtinId="51" customBuiltin="1"/>
    <cellStyle name="60% - Ênfase1" xfId="22" builtinId="32" customBuiltin="1"/>
    <cellStyle name="60% - Ênfase2" xfId="26" builtinId="36" customBuiltin="1"/>
    <cellStyle name="60% - Ênfase3" xfId="30" builtinId="40" customBuiltin="1"/>
    <cellStyle name="60% - Ênfase4" xfId="34" builtinId="44" customBuiltin="1"/>
    <cellStyle name="60% - Ênfase5" xfId="38" builtinId="48" customBuiltin="1"/>
    <cellStyle name="60% - Ênfase6" xfId="42" builtinId="52" customBuiltin="1"/>
    <cellStyle name="Bom" xfId="7" builtinId="26" customBuiltin="1"/>
    <cellStyle name="Cálculo" xfId="12" builtinId="22" customBuiltin="1"/>
    <cellStyle name="Célula de Verificação" xfId="14" builtinId="23" customBuiltin="1"/>
    <cellStyle name="Célula Vinculada" xfId="13" builtinId="24" customBuiltin="1"/>
    <cellStyle name="Ênfase1" xfId="19" builtinId="29" customBuiltin="1"/>
    <cellStyle name="Ênfase2" xfId="23" builtinId="33" customBuiltin="1"/>
    <cellStyle name="Ênfase3" xfId="27" builtinId="37" customBuiltin="1"/>
    <cellStyle name="Ênfase4" xfId="31" builtinId="41" customBuiltin="1"/>
    <cellStyle name="Ênfase5" xfId="35" builtinId="45" customBuiltin="1"/>
    <cellStyle name="Ênfase6" xfId="39" builtinId="49" customBuiltin="1"/>
    <cellStyle name="Entrada" xfId="10" builtinId="20" customBuiltin="1"/>
    <cellStyle name="Incorreto" xfId="8" builtinId="27" customBuiltin="1"/>
    <cellStyle name="Neutra" xfId="9" builtinId="28" customBuiltin="1"/>
    <cellStyle name="Normal" xfId="0" builtinId="0"/>
    <cellStyle name="Nota" xfId="16" builtinId="10" customBuiltin="1"/>
    <cellStyle name="Porcentagem" xfId="1" builtinId="5"/>
    <cellStyle name="Saída" xfId="11" builtinId="21" customBuiltin="1"/>
    <cellStyle name="Texto de Aviso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ítulo 5" xfId="44"/>
    <cellStyle name="Total" xfId="18" builtinId="25" customBuiltin="1"/>
    <cellStyle name="Vírgula" xfId="43" builtinId="3"/>
  </cellStyles>
  <dxfs count="5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3"/>
  <sheetViews>
    <sheetView tabSelected="1" topLeftCell="A67" zoomScale="110" zoomScaleNormal="110" zoomScaleSheetLayoutView="100" workbookViewId="0">
      <selection activeCell="O15" sqref="O15"/>
    </sheetView>
  </sheetViews>
  <sheetFormatPr defaultRowHeight="15" x14ac:dyDescent="0.25"/>
  <cols>
    <col min="1" max="1" width="69.5703125" style="10" customWidth="1"/>
    <col min="2" max="2" width="8.5703125" customWidth="1"/>
    <col min="3" max="3" width="12" style="12" customWidth="1"/>
    <col min="4" max="4" width="9.42578125" hidden="1" customWidth="1"/>
    <col min="5" max="5" width="15.140625" hidden="1" customWidth="1"/>
    <col min="6" max="6" width="18.7109375" style="9" customWidth="1"/>
    <col min="7" max="9" width="0" hidden="1" customWidth="1"/>
    <col min="10" max="10" width="10.5703125" hidden="1" customWidth="1"/>
    <col min="11" max="11" width="0" hidden="1" customWidth="1"/>
    <col min="12" max="12" width="15.42578125" customWidth="1"/>
  </cols>
  <sheetData>
    <row r="1" spans="1:13" ht="15.6" customHeight="1" thickTop="1" x14ac:dyDescent="0.25">
      <c r="A1" s="61" t="s">
        <v>127</v>
      </c>
      <c r="B1" s="62"/>
      <c r="C1" s="62"/>
      <c r="D1" s="62"/>
      <c r="E1" s="62"/>
      <c r="F1" s="63"/>
      <c r="J1" s="10"/>
      <c r="K1" s="10"/>
      <c r="L1" s="10"/>
      <c r="M1" s="10"/>
    </row>
    <row r="2" spans="1:13" ht="14.1" customHeight="1" x14ac:dyDescent="0.25">
      <c r="A2" s="64"/>
      <c r="B2" s="65"/>
      <c r="C2" s="65"/>
      <c r="D2" s="65"/>
      <c r="E2" s="65"/>
      <c r="F2" s="66"/>
    </row>
    <row r="3" spans="1:13" ht="28.5" customHeight="1" x14ac:dyDescent="0.25">
      <c r="A3" s="41" t="s">
        <v>20</v>
      </c>
      <c r="B3" s="42" t="s">
        <v>21</v>
      </c>
      <c r="C3" s="43" t="s">
        <v>72</v>
      </c>
      <c r="D3" s="42" t="s">
        <v>42</v>
      </c>
      <c r="E3" s="42" t="s">
        <v>43</v>
      </c>
      <c r="F3" s="44" t="s">
        <v>46</v>
      </c>
      <c r="J3" s="10"/>
      <c r="K3" s="10"/>
    </row>
    <row r="4" spans="1:13" x14ac:dyDescent="0.25">
      <c r="A4" s="21" t="s">
        <v>24</v>
      </c>
      <c r="B4" s="35">
        <v>2379</v>
      </c>
      <c r="C4" s="35">
        <f>54+110</f>
        <v>164</v>
      </c>
      <c r="D4" s="6" t="s">
        <v>40</v>
      </c>
      <c r="E4" s="3" t="e">
        <v>#REF!</v>
      </c>
      <c r="F4" s="80">
        <f>SUM(B4/C4)</f>
        <v>14.50609756097561</v>
      </c>
      <c r="J4" s="10"/>
      <c r="K4" s="10"/>
    </row>
    <row r="5" spans="1:13" ht="15" customHeight="1" x14ac:dyDescent="0.25">
      <c r="A5" s="49" t="s">
        <v>122</v>
      </c>
      <c r="B5" s="50">
        <v>537</v>
      </c>
      <c r="C5" s="50">
        <v>1</v>
      </c>
      <c r="D5" s="6"/>
      <c r="E5" s="3" t="e">
        <v>#REF!</v>
      </c>
      <c r="F5" s="80">
        <f t="shared" ref="F5:F13" si="0">SUM(B5/C5)</f>
        <v>537</v>
      </c>
      <c r="J5" s="10"/>
      <c r="K5" s="10"/>
      <c r="L5" s="38" t="s">
        <v>129</v>
      </c>
    </row>
    <row r="6" spans="1:13" x14ac:dyDescent="0.25">
      <c r="A6" s="21" t="s">
        <v>73</v>
      </c>
      <c r="B6" s="35">
        <v>895</v>
      </c>
      <c r="C6" s="35">
        <v>1</v>
      </c>
      <c r="D6" s="11" t="s">
        <v>40</v>
      </c>
      <c r="E6" s="45" t="e">
        <v>#REF!</v>
      </c>
      <c r="F6" s="80">
        <f t="shared" si="0"/>
        <v>895</v>
      </c>
      <c r="H6" s="10"/>
      <c r="J6" s="10"/>
      <c r="K6" s="10"/>
    </row>
    <row r="7" spans="1:13" x14ac:dyDescent="0.25">
      <c r="A7" s="21" t="s">
        <v>111</v>
      </c>
      <c r="B7" s="35">
        <v>2027</v>
      </c>
      <c r="C7" s="35">
        <v>1</v>
      </c>
      <c r="D7" s="6" t="s">
        <v>40</v>
      </c>
      <c r="E7" s="3" t="e">
        <v>#REF!</v>
      </c>
      <c r="F7" s="80">
        <f t="shared" si="0"/>
        <v>2027</v>
      </c>
      <c r="H7" s="10"/>
      <c r="J7" s="10"/>
      <c r="K7" s="10"/>
    </row>
    <row r="8" spans="1:13" x14ac:dyDescent="0.25">
      <c r="A8" s="20" t="s">
        <v>79</v>
      </c>
      <c r="B8" s="35">
        <v>486</v>
      </c>
      <c r="C8" s="36">
        <v>22</v>
      </c>
      <c r="D8" s="8"/>
      <c r="E8" s="37"/>
      <c r="F8" s="80">
        <f t="shared" si="0"/>
        <v>22.09090909090909</v>
      </c>
    </row>
    <row r="9" spans="1:13" x14ac:dyDescent="0.25">
      <c r="A9" s="21" t="s">
        <v>35</v>
      </c>
      <c r="B9" s="35">
        <v>948</v>
      </c>
      <c r="C9" s="35">
        <v>20</v>
      </c>
      <c r="D9" s="11" t="s">
        <v>40</v>
      </c>
      <c r="E9" s="45" t="e">
        <v>#REF!</v>
      </c>
      <c r="F9" s="80">
        <f t="shared" si="0"/>
        <v>47.4</v>
      </c>
    </row>
    <row r="10" spans="1:13" x14ac:dyDescent="0.25">
      <c r="A10" s="49" t="s">
        <v>113</v>
      </c>
      <c r="B10" s="50">
        <v>170</v>
      </c>
      <c r="C10" s="50">
        <v>14</v>
      </c>
      <c r="D10" s="6"/>
      <c r="E10" s="3"/>
      <c r="F10" s="80">
        <f t="shared" si="0"/>
        <v>12.142857142857142</v>
      </c>
      <c r="H10">
        <f>999-110</f>
        <v>889</v>
      </c>
      <c r="L10" s="38" t="s">
        <v>129</v>
      </c>
    </row>
    <row r="11" spans="1:13" x14ac:dyDescent="0.25">
      <c r="A11" s="49" t="s">
        <v>114</v>
      </c>
      <c r="B11" s="50">
        <v>230</v>
      </c>
      <c r="C11" s="50">
        <v>5</v>
      </c>
      <c r="D11" s="6"/>
      <c r="E11" s="3"/>
      <c r="F11" s="80">
        <f t="shared" si="0"/>
        <v>46</v>
      </c>
      <c r="G11" s="10"/>
      <c r="H11" s="10"/>
      <c r="L11" s="38" t="s">
        <v>129</v>
      </c>
    </row>
    <row r="12" spans="1:13" x14ac:dyDescent="0.25">
      <c r="A12" s="21" t="s">
        <v>64</v>
      </c>
      <c r="B12" s="35">
        <v>491</v>
      </c>
      <c r="C12" s="35">
        <v>22</v>
      </c>
      <c r="D12" s="7" t="s">
        <v>40</v>
      </c>
      <c r="E12" s="15" t="e">
        <v>#REF!</v>
      </c>
      <c r="F12" s="80">
        <f t="shared" si="0"/>
        <v>22.318181818181817</v>
      </c>
    </row>
    <row r="13" spans="1:13" x14ac:dyDescent="0.25">
      <c r="A13" s="20" t="s">
        <v>65</v>
      </c>
      <c r="B13" s="35">
        <v>55</v>
      </c>
      <c r="C13" s="35">
        <v>22</v>
      </c>
      <c r="D13" s="11" t="s">
        <v>40</v>
      </c>
      <c r="E13" s="45" t="e">
        <v>#REF!</v>
      </c>
      <c r="F13" s="80">
        <f t="shared" si="0"/>
        <v>2.5</v>
      </c>
      <c r="J13" s="10"/>
      <c r="K13" s="10"/>
    </row>
    <row r="14" spans="1:13" ht="14.45" customHeight="1" x14ac:dyDescent="0.25">
      <c r="A14" s="21" t="s">
        <v>69</v>
      </c>
      <c r="B14" s="35">
        <v>387</v>
      </c>
      <c r="C14" s="35">
        <v>99</v>
      </c>
      <c r="D14" s="6"/>
      <c r="E14" s="3"/>
      <c r="F14" s="80">
        <f t="shared" ref="F14:F18" si="1">SUM(B14/C14)</f>
        <v>3.9090909090909092</v>
      </c>
    </row>
    <row r="15" spans="1:13" ht="14.45" customHeight="1" x14ac:dyDescent="0.25">
      <c r="A15" s="21" t="s">
        <v>74</v>
      </c>
      <c r="B15" s="36">
        <v>0</v>
      </c>
      <c r="C15" s="36">
        <v>22</v>
      </c>
      <c r="D15" s="11"/>
      <c r="E15" s="45"/>
      <c r="F15" s="80">
        <f t="shared" si="1"/>
        <v>0</v>
      </c>
    </row>
    <row r="16" spans="1:13" x14ac:dyDescent="0.25">
      <c r="A16" s="20" t="s">
        <v>55</v>
      </c>
      <c r="B16" s="36">
        <v>897</v>
      </c>
      <c r="C16" s="36">
        <v>38</v>
      </c>
      <c r="D16" s="6" t="s">
        <v>40</v>
      </c>
      <c r="E16" s="3" t="e">
        <v>#REF!</v>
      </c>
      <c r="F16" s="80">
        <f t="shared" si="1"/>
        <v>23.605263157894736</v>
      </c>
    </row>
    <row r="17" spans="1:13" x14ac:dyDescent="0.25">
      <c r="A17" s="21" t="s">
        <v>11</v>
      </c>
      <c r="B17" s="35">
        <v>765</v>
      </c>
      <c r="C17" s="35">
        <f>42+42+72+60</f>
        <v>216</v>
      </c>
      <c r="D17" s="11" t="s">
        <v>39</v>
      </c>
      <c r="E17" s="45" t="e">
        <v>#REF!</v>
      </c>
      <c r="F17" s="80">
        <f t="shared" si="1"/>
        <v>3.5416666666666665</v>
      </c>
      <c r="G17" s="2"/>
    </row>
    <row r="18" spans="1:13" x14ac:dyDescent="0.25">
      <c r="A18" s="21" t="s">
        <v>128</v>
      </c>
      <c r="B18" s="35">
        <v>117</v>
      </c>
      <c r="C18" s="35">
        <v>30</v>
      </c>
      <c r="D18" s="8" t="s">
        <v>40</v>
      </c>
      <c r="E18" s="37" t="e">
        <v>#REF!</v>
      </c>
      <c r="F18" s="80">
        <f t="shared" si="1"/>
        <v>3.9</v>
      </c>
    </row>
    <row r="19" spans="1:13" x14ac:dyDescent="0.25">
      <c r="A19" s="49" t="s">
        <v>115</v>
      </c>
      <c r="B19" s="51">
        <v>307</v>
      </c>
      <c r="C19" s="67">
        <v>39</v>
      </c>
      <c r="D19" s="6"/>
      <c r="E19" s="3"/>
      <c r="F19" s="81">
        <v>14.07</v>
      </c>
      <c r="L19" s="82" t="s">
        <v>129</v>
      </c>
    </row>
    <row r="20" spans="1:13" x14ac:dyDescent="0.25">
      <c r="A20" s="49" t="s">
        <v>116</v>
      </c>
      <c r="B20" s="51">
        <v>26</v>
      </c>
      <c r="C20" s="67"/>
      <c r="D20" s="6" t="s">
        <v>40</v>
      </c>
      <c r="E20" s="3" t="e">
        <v>#REF!</v>
      </c>
      <c r="F20" s="81"/>
      <c r="G20" s="10"/>
      <c r="L20" s="82"/>
    </row>
    <row r="21" spans="1:13" x14ac:dyDescent="0.25">
      <c r="A21" s="49" t="s">
        <v>117</v>
      </c>
      <c r="B21" s="51">
        <v>81</v>
      </c>
      <c r="C21" s="67"/>
      <c r="D21" s="6"/>
      <c r="E21" s="3"/>
      <c r="F21" s="81"/>
      <c r="G21" s="10"/>
      <c r="L21" s="82"/>
    </row>
    <row r="22" spans="1:13" x14ac:dyDescent="0.25">
      <c r="A22" s="49" t="s">
        <v>118</v>
      </c>
      <c r="B22" s="51">
        <v>126</v>
      </c>
      <c r="C22" s="67"/>
      <c r="D22" s="8" t="s">
        <v>40</v>
      </c>
      <c r="E22" s="37" t="e">
        <v>#REF!</v>
      </c>
      <c r="F22" s="81"/>
      <c r="G22" s="2"/>
      <c r="L22" s="82"/>
    </row>
    <row r="23" spans="1:13" x14ac:dyDescent="0.25">
      <c r="A23" s="20" t="s">
        <v>66</v>
      </c>
      <c r="B23" s="40">
        <v>81</v>
      </c>
      <c r="C23" s="40">
        <v>22</v>
      </c>
      <c r="D23" s="8" t="s">
        <v>40</v>
      </c>
      <c r="E23" s="37" t="e">
        <v>#REF!</v>
      </c>
      <c r="F23" s="80">
        <f>SUM(B23/C23)</f>
        <v>3.6818181818181817</v>
      </c>
      <c r="G23" s="10"/>
    </row>
    <row r="24" spans="1:13" x14ac:dyDescent="0.25">
      <c r="A24" s="21" t="s">
        <v>29</v>
      </c>
      <c r="B24" s="35">
        <v>4569</v>
      </c>
      <c r="C24" s="35">
        <v>40</v>
      </c>
      <c r="D24" s="6" t="s">
        <v>40</v>
      </c>
      <c r="E24" s="3" t="e">
        <v>#REF!</v>
      </c>
      <c r="F24" s="80">
        <f t="shared" ref="F24:F86" si="2">SUM(B24/C24)</f>
        <v>114.22499999999999</v>
      </c>
      <c r="J24" s="10"/>
      <c r="K24" s="10"/>
      <c r="L24" s="10"/>
      <c r="M24" s="10"/>
    </row>
    <row r="25" spans="1:13" x14ac:dyDescent="0.25">
      <c r="A25" s="21" t="s">
        <v>126</v>
      </c>
      <c r="B25" s="35">
        <v>1149</v>
      </c>
      <c r="C25" s="35">
        <v>41</v>
      </c>
      <c r="D25" s="6"/>
      <c r="E25" s="3"/>
      <c r="F25" s="80">
        <f t="shared" si="2"/>
        <v>28.024390243902438</v>
      </c>
      <c r="J25" s="10"/>
      <c r="K25" s="10"/>
      <c r="L25" s="10"/>
      <c r="M25" s="10"/>
    </row>
    <row r="26" spans="1:13" x14ac:dyDescent="0.25">
      <c r="A26" s="21" t="s">
        <v>77</v>
      </c>
      <c r="B26" s="35">
        <v>431</v>
      </c>
      <c r="C26" s="35">
        <v>47</v>
      </c>
      <c r="D26" s="6"/>
      <c r="E26" s="3"/>
      <c r="F26" s="80">
        <f t="shared" si="2"/>
        <v>9.1702127659574462</v>
      </c>
      <c r="G26" s="10"/>
    </row>
    <row r="27" spans="1:13" ht="14.1" customHeight="1" x14ac:dyDescent="0.25">
      <c r="A27" s="21" t="s">
        <v>78</v>
      </c>
      <c r="B27" s="36">
        <v>47</v>
      </c>
      <c r="C27" s="36">
        <v>261</v>
      </c>
      <c r="D27" s="6" t="s">
        <v>40</v>
      </c>
      <c r="E27" s="3" t="e">
        <v>#REF!</v>
      </c>
      <c r="F27" s="80">
        <f t="shared" si="2"/>
        <v>0.18007662835249041</v>
      </c>
    </row>
    <row r="28" spans="1:13" ht="14.1" customHeight="1" x14ac:dyDescent="0.25">
      <c r="A28" s="21" t="s">
        <v>16</v>
      </c>
      <c r="B28" s="35">
        <v>3124</v>
      </c>
      <c r="C28" s="35">
        <f>181+167+27</f>
        <v>375</v>
      </c>
      <c r="D28" s="6"/>
      <c r="E28" s="3"/>
      <c r="F28" s="80">
        <f t="shared" si="2"/>
        <v>8.3306666666666676</v>
      </c>
    </row>
    <row r="29" spans="1:13" s="10" customFormat="1" x14ac:dyDescent="0.25">
      <c r="A29" s="21" t="s">
        <v>17</v>
      </c>
      <c r="B29" s="35">
        <v>5871</v>
      </c>
      <c r="C29" s="35">
        <f>60+58+172+91</f>
        <v>381</v>
      </c>
      <c r="D29" s="6" t="s">
        <v>40</v>
      </c>
      <c r="E29" s="3" t="e">
        <v>#REF!</v>
      </c>
      <c r="F29" s="80">
        <f t="shared" si="2"/>
        <v>15.409448818897637</v>
      </c>
      <c r="H29"/>
      <c r="I29"/>
      <c r="J29"/>
      <c r="K29"/>
      <c r="L29" s="48"/>
      <c r="M29"/>
    </row>
    <row r="30" spans="1:13" x14ac:dyDescent="0.25">
      <c r="A30" s="21" t="s">
        <v>8</v>
      </c>
      <c r="B30" s="35">
        <f>180+349</f>
        <v>529</v>
      </c>
      <c r="C30" s="35">
        <f>346+188+254</f>
        <v>788</v>
      </c>
      <c r="D30" s="6" t="s">
        <v>39</v>
      </c>
      <c r="E30" s="3" t="e">
        <v>#REF!</v>
      </c>
      <c r="F30" s="80">
        <f t="shared" si="2"/>
        <v>0.67131979695431476</v>
      </c>
    </row>
    <row r="31" spans="1:13" x14ac:dyDescent="0.25">
      <c r="A31" s="49" t="s">
        <v>119</v>
      </c>
      <c r="B31" s="51">
        <v>1322</v>
      </c>
      <c r="C31" s="51">
        <v>88</v>
      </c>
      <c r="D31" s="6" t="s">
        <v>40</v>
      </c>
      <c r="E31" s="3" t="e">
        <v>#REF!</v>
      </c>
      <c r="F31" s="80">
        <f t="shared" si="2"/>
        <v>15.022727272727273</v>
      </c>
      <c r="I31" s="12"/>
      <c r="L31" s="38" t="s">
        <v>129</v>
      </c>
    </row>
    <row r="32" spans="1:13" x14ac:dyDescent="0.25">
      <c r="A32" s="21" t="s">
        <v>28</v>
      </c>
      <c r="B32" s="35">
        <v>3253</v>
      </c>
      <c r="C32" s="35">
        <f>10+159+351</f>
        <v>520</v>
      </c>
      <c r="D32" s="6" t="s">
        <v>39</v>
      </c>
      <c r="E32" s="3" t="e">
        <v>#REF!</v>
      </c>
      <c r="F32" s="80">
        <f t="shared" si="2"/>
        <v>6.2557692307692312</v>
      </c>
      <c r="J32" s="10"/>
      <c r="K32" s="10"/>
      <c r="M32" s="10"/>
    </row>
    <row r="33" spans="1:16" ht="15.75" customHeight="1" x14ac:dyDescent="0.25">
      <c r="A33" s="21" t="s">
        <v>15</v>
      </c>
      <c r="B33" s="35">
        <v>6725</v>
      </c>
      <c r="C33" s="35">
        <f>50+201+18+67</f>
        <v>336</v>
      </c>
      <c r="D33" s="6" t="s">
        <v>39</v>
      </c>
      <c r="E33" s="3" t="e">
        <v>#REF!</v>
      </c>
      <c r="F33" s="80">
        <f t="shared" si="2"/>
        <v>20.014880952380953</v>
      </c>
    </row>
    <row r="34" spans="1:16" x14ac:dyDescent="0.25">
      <c r="A34" s="84" t="s">
        <v>76</v>
      </c>
      <c r="B34" s="35">
        <v>1923</v>
      </c>
      <c r="C34" s="35">
        <v>186</v>
      </c>
      <c r="D34" s="6" t="s">
        <v>40</v>
      </c>
      <c r="E34" s="3" t="e">
        <v>#REF!</v>
      </c>
      <c r="F34" s="80">
        <f t="shared" si="2"/>
        <v>10.338709677419354</v>
      </c>
      <c r="L34" s="38"/>
    </row>
    <row r="35" spans="1:16" s="10" customFormat="1" x14ac:dyDescent="0.25">
      <c r="A35" s="21" t="s">
        <v>49</v>
      </c>
      <c r="B35" s="35">
        <v>0</v>
      </c>
      <c r="C35" s="35">
        <f>117+105</f>
        <v>222</v>
      </c>
      <c r="D35" s="6" t="s">
        <v>39</v>
      </c>
      <c r="E35" s="3" t="e">
        <v>#REF!</v>
      </c>
      <c r="F35" s="80">
        <f t="shared" si="2"/>
        <v>0</v>
      </c>
      <c r="G35"/>
      <c r="I35"/>
      <c r="J35"/>
      <c r="K35"/>
      <c r="L35"/>
      <c r="M35"/>
    </row>
    <row r="36" spans="1:16" x14ac:dyDescent="0.25">
      <c r="A36" s="21" t="s">
        <v>61</v>
      </c>
      <c r="B36" s="35">
        <v>363</v>
      </c>
      <c r="C36" s="35">
        <v>80</v>
      </c>
      <c r="D36" s="6" t="s">
        <v>40</v>
      </c>
      <c r="E36" s="14" t="e">
        <v>#REF!</v>
      </c>
      <c r="F36" s="80">
        <f t="shared" si="2"/>
        <v>4.5374999999999996</v>
      </c>
      <c r="G36" s="10"/>
    </row>
    <row r="37" spans="1:16" ht="24.75" customHeight="1" x14ac:dyDescent="0.25">
      <c r="A37" s="21" t="s">
        <v>14</v>
      </c>
      <c r="B37" s="35">
        <v>472</v>
      </c>
      <c r="C37" s="35">
        <v>90</v>
      </c>
      <c r="D37" s="8"/>
      <c r="E37" s="37"/>
      <c r="F37" s="80">
        <f t="shared" si="2"/>
        <v>5.2444444444444445</v>
      </c>
    </row>
    <row r="38" spans="1:16" ht="24.75" customHeight="1" x14ac:dyDescent="0.25">
      <c r="A38" s="20" t="s">
        <v>5</v>
      </c>
      <c r="B38" s="35">
        <v>1352</v>
      </c>
      <c r="C38" s="35">
        <f>120+120+100+299</f>
        <v>639</v>
      </c>
      <c r="D38" s="4" t="s">
        <v>40</v>
      </c>
      <c r="E38" s="5" t="e">
        <v>#REF!</v>
      </c>
      <c r="F38" s="80">
        <f t="shared" si="2"/>
        <v>2.1158059467918622</v>
      </c>
    </row>
    <row r="39" spans="1:16" x14ac:dyDescent="0.25">
      <c r="A39" s="21" t="s">
        <v>27</v>
      </c>
      <c r="B39" s="35">
        <v>3053</v>
      </c>
      <c r="C39" s="35">
        <f>24+72+110</f>
        <v>206</v>
      </c>
      <c r="D39" s="6" t="s">
        <v>39</v>
      </c>
      <c r="E39" s="3" t="e">
        <v>#REF!</v>
      </c>
      <c r="F39" s="80">
        <f t="shared" si="2"/>
        <v>14.820388349514563</v>
      </c>
    </row>
    <row r="40" spans="1:16" x14ac:dyDescent="0.25">
      <c r="A40" s="19" t="s">
        <v>19</v>
      </c>
      <c r="B40" s="35">
        <v>746</v>
      </c>
      <c r="C40" s="35">
        <v>1</v>
      </c>
      <c r="D40" s="6"/>
      <c r="E40" s="3" t="e">
        <v>#REF!</v>
      </c>
      <c r="F40" s="80">
        <f t="shared" si="2"/>
        <v>746</v>
      </c>
      <c r="H40" s="10"/>
      <c r="I40" s="10"/>
    </row>
    <row r="41" spans="1:16" x14ac:dyDescent="0.25">
      <c r="A41" s="21" t="s">
        <v>12</v>
      </c>
      <c r="B41" s="35">
        <v>2540</v>
      </c>
      <c r="C41" s="35">
        <f>292+254</f>
        <v>546</v>
      </c>
      <c r="D41" s="7"/>
      <c r="E41" s="15"/>
      <c r="F41" s="80">
        <f t="shared" si="2"/>
        <v>4.6520146520146524</v>
      </c>
      <c r="J41" s="10"/>
      <c r="K41" s="10"/>
    </row>
    <row r="42" spans="1:16" x14ac:dyDescent="0.25">
      <c r="A42" s="21" t="s">
        <v>6</v>
      </c>
      <c r="B42" s="35">
        <v>3486</v>
      </c>
      <c r="C42" s="35">
        <f>180+187+180</f>
        <v>547</v>
      </c>
      <c r="D42" s="6"/>
      <c r="E42" s="3" t="e">
        <v>#REF!</v>
      </c>
      <c r="F42" s="80">
        <f t="shared" si="2"/>
        <v>6.3729433272394882</v>
      </c>
    </row>
    <row r="43" spans="1:16" x14ac:dyDescent="0.25">
      <c r="A43" s="21" t="s">
        <v>57</v>
      </c>
      <c r="B43" s="35">
        <v>4606</v>
      </c>
      <c r="C43" s="35">
        <f>181+477+397</f>
        <v>1055</v>
      </c>
      <c r="D43" s="6" t="s">
        <v>40</v>
      </c>
      <c r="E43" s="3" t="e">
        <v>#REF!</v>
      </c>
      <c r="F43" s="80">
        <f t="shared" si="2"/>
        <v>4.3658767772511844</v>
      </c>
      <c r="G43" s="1" t="s">
        <v>60</v>
      </c>
    </row>
    <row r="44" spans="1:16" x14ac:dyDescent="0.25">
      <c r="A44" s="21" t="s">
        <v>36</v>
      </c>
      <c r="B44" s="35">
        <v>273</v>
      </c>
      <c r="C44" s="35">
        <v>180</v>
      </c>
      <c r="D44" s="6" t="s">
        <v>40</v>
      </c>
      <c r="E44" s="3" t="e">
        <v>#REF!</v>
      </c>
      <c r="F44" s="80">
        <f t="shared" si="2"/>
        <v>1.5166666666666666</v>
      </c>
    </row>
    <row r="45" spans="1:16" s="10" customFormat="1" x14ac:dyDescent="0.25">
      <c r="A45" s="21" t="s">
        <v>25</v>
      </c>
      <c r="B45" s="35">
        <v>0</v>
      </c>
      <c r="C45" s="35">
        <v>513</v>
      </c>
      <c r="D45" s="6" t="s">
        <v>40</v>
      </c>
      <c r="E45" s="3" t="e">
        <v>#REF!</v>
      </c>
      <c r="F45" s="80">
        <f t="shared" si="2"/>
        <v>0</v>
      </c>
      <c r="H45"/>
      <c r="L45"/>
      <c r="M45"/>
      <c r="N45"/>
      <c r="O45"/>
      <c r="P45"/>
    </row>
    <row r="46" spans="1:16" s="10" customFormat="1" x14ac:dyDescent="0.25">
      <c r="A46" s="83" t="s">
        <v>1</v>
      </c>
      <c r="B46" s="35">
        <v>1135</v>
      </c>
      <c r="C46" s="35">
        <f>110+49</f>
        <v>159</v>
      </c>
      <c r="D46" s="6"/>
      <c r="E46" s="3"/>
      <c r="F46" s="80">
        <f t="shared" si="2"/>
        <v>7.1383647798742142</v>
      </c>
      <c r="G46"/>
      <c r="H46"/>
      <c r="L46"/>
      <c r="M46"/>
      <c r="N46"/>
      <c r="O46"/>
      <c r="P46"/>
    </row>
    <row r="47" spans="1:16" s="10" customFormat="1" x14ac:dyDescent="0.25">
      <c r="A47" s="21" t="s">
        <v>59</v>
      </c>
      <c r="B47" s="35">
        <v>2901</v>
      </c>
      <c r="C47" s="35">
        <v>622</v>
      </c>
      <c r="D47" s="6"/>
      <c r="E47" s="3"/>
      <c r="F47" s="80">
        <f t="shared" si="2"/>
        <v>4.663987138263666</v>
      </c>
      <c r="G47"/>
      <c r="H47"/>
      <c r="I47"/>
      <c r="J47"/>
      <c r="K47"/>
      <c r="L47"/>
      <c r="M47"/>
      <c r="N47"/>
    </row>
    <row r="48" spans="1:16" s="10" customFormat="1" x14ac:dyDescent="0.25">
      <c r="A48" s="49" t="s">
        <v>120</v>
      </c>
      <c r="B48" s="51">
        <v>68</v>
      </c>
      <c r="C48" s="51">
        <v>30</v>
      </c>
      <c r="D48" s="6" t="s">
        <v>40</v>
      </c>
      <c r="E48" s="3" t="e">
        <v>#REF!</v>
      </c>
      <c r="F48" s="80">
        <f t="shared" si="2"/>
        <v>2.2666666666666666</v>
      </c>
      <c r="G48"/>
      <c r="H48"/>
      <c r="J48"/>
      <c r="K48"/>
      <c r="L48" s="38" t="s">
        <v>129</v>
      </c>
      <c r="M48"/>
      <c r="N48"/>
    </row>
    <row r="49" spans="1:11" x14ac:dyDescent="0.25">
      <c r="A49" s="21" t="s">
        <v>22</v>
      </c>
      <c r="B49" s="35">
        <v>18472</v>
      </c>
      <c r="C49" s="35">
        <f>3217+3088</f>
        <v>6305</v>
      </c>
      <c r="D49" s="6"/>
      <c r="E49" s="3"/>
      <c r="F49" s="80">
        <f t="shared" si="2"/>
        <v>2.929738302934179</v>
      </c>
      <c r="I49" s="10"/>
    </row>
    <row r="50" spans="1:11" x14ac:dyDescent="0.25">
      <c r="A50" s="20" t="s">
        <v>18</v>
      </c>
      <c r="B50" s="35">
        <v>994</v>
      </c>
      <c r="C50" s="35">
        <v>545</v>
      </c>
      <c r="D50" s="6"/>
      <c r="E50" s="3"/>
      <c r="F50" s="80">
        <f t="shared" si="2"/>
        <v>1.8238532110091743</v>
      </c>
      <c r="G50" s="10"/>
    </row>
    <row r="51" spans="1:11" x14ac:dyDescent="0.25">
      <c r="A51" s="21" t="s">
        <v>75</v>
      </c>
      <c r="B51" s="35">
        <v>1001</v>
      </c>
      <c r="C51" s="35">
        <f>306+211</f>
        <v>517</v>
      </c>
      <c r="D51" s="6" t="s">
        <v>40</v>
      </c>
      <c r="E51" s="14" t="e">
        <v>#REF!</v>
      </c>
      <c r="F51" s="80">
        <f t="shared" si="2"/>
        <v>1.9361702127659575</v>
      </c>
    </row>
    <row r="52" spans="1:11" x14ac:dyDescent="0.25">
      <c r="A52" s="21" t="s">
        <v>3</v>
      </c>
      <c r="B52" s="35">
        <v>8309</v>
      </c>
      <c r="C52" s="35">
        <f>1+201+161</f>
        <v>363</v>
      </c>
      <c r="D52" s="6"/>
      <c r="E52" s="3"/>
      <c r="F52" s="80">
        <f t="shared" si="2"/>
        <v>22.889807162534435</v>
      </c>
      <c r="G52" s="10"/>
      <c r="H52" s="10"/>
    </row>
    <row r="53" spans="1:11" x14ac:dyDescent="0.25">
      <c r="A53" s="21" t="s">
        <v>23</v>
      </c>
      <c r="B53" s="35">
        <v>7480</v>
      </c>
      <c r="C53" s="35">
        <f>1208+960+141+1472+464</f>
        <v>4245</v>
      </c>
      <c r="D53" s="6"/>
      <c r="E53" s="3"/>
      <c r="F53" s="80">
        <f t="shared" si="2"/>
        <v>1.762073027090695</v>
      </c>
    </row>
    <row r="54" spans="1:11" x14ac:dyDescent="0.25">
      <c r="A54" s="21" t="s">
        <v>41</v>
      </c>
      <c r="B54" s="35">
        <v>13891</v>
      </c>
      <c r="C54" s="35">
        <v>2904</v>
      </c>
      <c r="D54" s="6"/>
      <c r="E54" s="3" t="e">
        <v>#REF!</v>
      </c>
      <c r="F54" s="80">
        <f t="shared" si="2"/>
        <v>4.783402203856749</v>
      </c>
    </row>
    <row r="55" spans="1:11" x14ac:dyDescent="0.25">
      <c r="A55" s="20" t="s">
        <v>26</v>
      </c>
      <c r="B55" s="35">
        <v>525</v>
      </c>
      <c r="C55" s="35">
        <f>180+221</f>
        <v>401</v>
      </c>
      <c r="D55" s="6"/>
      <c r="E55" s="3"/>
      <c r="F55" s="80">
        <f t="shared" si="2"/>
        <v>1.3092269326683292</v>
      </c>
      <c r="H55" s="10"/>
    </row>
    <row r="56" spans="1:11" x14ac:dyDescent="0.25">
      <c r="A56" s="21" t="s">
        <v>2</v>
      </c>
      <c r="B56" s="35">
        <v>1767</v>
      </c>
      <c r="C56" s="35">
        <f>63+77+96</f>
        <v>236</v>
      </c>
      <c r="D56" s="6" t="s">
        <v>40</v>
      </c>
      <c r="E56" s="3" t="e">
        <v>#REF!</v>
      </c>
      <c r="F56" s="80">
        <f t="shared" si="2"/>
        <v>7.4872881355932206</v>
      </c>
      <c r="G56" s="10"/>
    </row>
    <row r="57" spans="1:11" x14ac:dyDescent="0.25">
      <c r="A57" s="21" t="s">
        <v>0</v>
      </c>
      <c r="B57" s="35">
        <v>3</v>
      </c>
      <c r="C57" s="35">
        <v>75</v>
      </c>
      <c r="D57" s="6" t="s">
        <v>40</v>
      </c>
      <c r="E57" s="3" t="e">
        <v>#REF!</v>
      </c>
      <c r="F57" s="80">
        <f t="shared" si="2"/>
        <v>0.04</v>
      </c>
    </row>
    <row r="58" spans="1:11" x14ac:dyDescent="0.25">
      <c r="A58" s="20" t="s">
        <v>13</v>
      </c>
      <c r="B58" s="35">
        <v>222</v>
      </c>
      <c r="C58" s="35">
        <v>137</v>
      </c>
      <c r="D58" s="4"/>
      <c r="E58" s="5" t="e">
        <v>#REF!</v>
      </c>
      <c r="F58" s="80">
        <f t="shared" si="2"/>
        <v>1.6204379562043796</v>
      </c>
      <c r="H58" s="10"/>
      <c r="I58" s="10"/>
      <c r="J58" s="10"/>
      <c r="K58" s="10"/>
    </row>
    <row r="59" spans="1:11" x14ac:dyDescent="0.25">
      <c r="A59" s="20" t="s">
        <v>110</v>
      </c>
      <c r="B59" s="35">
        <v>466</v>
      </c>
      <c r="C59" s="35">
        <v>256</v>
      </c>
      <c r="D59" s="4"/>
      <c r="E59" s="5" t="e">
        <v>#REF!</v>
      </c>
      <c r="F59" s="80">
        <f t="shared" si="2"/>
        <v>1.8203125</v>
      </c>
    </row>
    <row r="60" spans="1:11" x14ac:dyDescent="0.25">
      <c r="A60" s="20" t="s">
        <v>58</v>
      </c>
      <c r="B60" s="35">
        <v>290</v>
      </c>
      <c r="C60" s="35">
        <f>30+72+250</f>
        <v>352</v>
      </c>
      <c r="D60" s="4" t="s">
        <v>40</v>
      </c>
      <c r="E60" s="5" t="e">
        <v>#REF!</v>
      </c>
      <c r="F60" s="80">
        <f t="shared" si="2"/>
        <v>0.82386363636363635</v>
      </c>
    </row>
    <row r="61" spans="1:11" x14ac:dyDescent="0.25">
      <c r="A61" s="20" t="s">
        <v>32</v>
      </c>
      <c r="B61" s="35">
        <v>949</v>
      </c>
      <c r="C61" s="35">
        <f>221+180</f>
        <v>401</v>
      </c>
      <c r="D61" s="6" t="s">
        <v>40</v>
      </c>
      <c r="E61" s="3" t="e">
        <v>#REF!</v>
      </c>
      <c r="F61" s="80">
        <f t="shared" si="2"/>
        <v>2.3665835411471323</v>
      </c>
      <c r="G61" s="10"/>
    </row>
    <row r="62" spans="1:11" x14ac:dyDescent="0.25">
      <c r="A62" s="21" t="s">
        <v>4</v>
      </c>
      <c r="B62" s="36">
        <v>467</v>
      </c>
      <c r="C62" s="36">
        <v>98</v>
      </c>
      <c r="D62" s="6" t="s">
        <v>39</v>
      </c>
      <c r="E62" s="3" t="e">
        <v>#REF!</v>
      </c>
      <c r="F62" s="80">
        <f t="shared" si="2"/>
        <v>4.7653061224489797</v>
      </c>
      <c r="G62" s="10"/>
      <c r="J62" s="10"/>
      <c r="K62" s="10"/>
    </row>
    <row r="63" spans="1:11" x14ac:dyDescent="0.25">
      <c r="A63" s="21" t="s">
        <v>10</v>
      </c>
      <c r="B63" s="35">
        <v>250</v>
      </c>
      <c r="C63" s="35">
        <v>154</v>
      </c>
      <c r="D63" s="6"/>
      <c r="E63" s="3" t="e">
        <v>#REF!</v>
      </c>
      <c r="F63" s="80">
        <f t="shared" si="2"/>
        <v>1.6233766233766234</v>
      </c>
    </row>
    <row r="64" spans="1:11" x14ac:dyDescent="0.25">
      <c r="A64" s="23" t="s">
        <v>7</v>
      </c>
      <c r="B64" s="35">
        <v>233</v>
      </c>
      <c r="C64" s="35">
        <f>55+115+15+16+104</f>
        <v>305</v>
      </c>
      <c r="D64" s="6" t="s">
        <v>40</v>
      </c>
      <c r="E64" s="3" t="e">
        <v>#REF!</v>
      </c>
      <c r="F64" s="80">
        <f t="shared" si="2"/>
        <v>0.76393442622950825</v>
      </c>
    </row>
    <row r="65" spans="1:13" x14ac:dyDescent="0.25">
      <c r="A65" s="20" t="s">
        <v>9</v>
      </c>
      <c r="B65" s="35">
        <v>1021</v>
      </c>
      <c r="C65" s="35">
        <v>48</v>
      </c>
      <c r="D65" s="4" t="s">
        <v>39</v>
      </c>
      <c r="E65" s="5" t="e">
        <v>#REF!</v>
      </c>
      <c r="F65" s="80">
        <f t="shared" si="2"/>
        <v>21.270833333333332</v>
      </c>
    </row>
    <row r="66" spans="1:13" x14ac:dyDescent="0.25">
      <c r="A66" s="21" t="s">
        <v>67</v>
      </c>
      <c r="B66" s="35">
        <v>76</v>
      </c>
      <c r="C66" s="35">
        <v>184</v>
      </c>
      <c r="D66" s="6" t="s">
        <v>39</v>
      </c>
      <c r="E66" s="14" t="e">
        <v>#REF!</v>
      </c>
      <c r="F66" s="80">
        <f t="shared" si="2"/>
        <v>0.41304347826086957</v>
      </c>
      <c r="G66" s="10"/>
    </row>
    <row r="67" spans="1:13" x14ac:dyDescent="0.25">
      <c r="A67" s="21" t="s">
        <v>68</v>
      </c>
      <c r="B67" s="35">
        <v>8</v>
      </c>
      <c r="C67" s="35">
        <v>496</v>
      </c>
      <c r="D67" s="6" t="s">
        <v>39</v>
      </c>
      <c r="E67" s="3" t="e">
        <v>#REF!</v>
      </c>
      <c r="F67" s="80">
        <f t="shared" si="2"/>
        <v>1.6129032258064516E-2</v>
      </c>
      <c r="G67" s="2"/>
    </row>
    <row r="68" spans="1:13" x14ac:dyDescent="0.25">
      <c r="A68" s="21" t="s">
        <v>37</v>
      </c>
      <c r="B68" s="35">
        <v>0</v>
      </c>
      <c r="C68" s="35">
        <v>41</v>
      </c>
      <c r="D68" s="6" t="s">
        <v>40</v>
      </c>
      <c r="E68" s="3" t="e">
        <v>#REF!</v>
      </c>
      <c r="F68" s="80">
        <f t="shared" si="2"/>
        <v>0</v>
      </c>
    </row>
    <row r="69" spans="1:13" x14ac:dyDescent="0.25">
      <c r="A69" s="49" t="s">
        <v>121</v>
      </c>
      <c r="B69" s="51">
        <v>11</v>
      </c>
      <c r="C69" s="51">
        <v>30</v>
      </c>
      <c r="D69" s="4"/>
      <c r="E69" s="5" t="e">
        <v>#REF!</v>
      </c>
      <c r="F69" s="80">
        <f t="shared" si="2"/>
        <v>0.36666666666666664</v>
      </c>
      <c r="L69" s="38" t="s">
        <v>129</v>
      </c>
    </row>
    <row r="70" spans="1:13" x14ac:dyDescent="0.25">
      <c r="A70" s="20" t="s">
        <v>70</v>
      </c>
      <c r="B70" s="35">
        <v>6</v>
      </c>
      <c r="C70" s="35">
        <f>32+33+77+84</f>
        <v>226</v>
      </c>
      <c r="D70" s="4" t="s">
        <v>40</v>
      </c>
      <c r="E70" s="5" t="e">
        <v>#REF!</v>
      </c>
      <c r="F70" s="80">
        <f t="shared" si="2"/>
        <v>2.6548672566371681E-2</v>
      </c>
      <c r="H70" s="10"/>
      <c r="J70" s="10"/>
      <c r="K70" s="10"/>
      <c r="L70" s="10"/>
      <c r="M70" s="10"/>
    </row>
    <row r="71" spans="1:13" x14ac:dyDescent="0.25">
      <c r="A71" s="20" t="s">
        <v>56</v>
      </c>
      <c r="B71" s="35">
        <v>0</v>
      </c>
      <c r="C71" s="35">
        <v>31</v>
      </c>
      <c r="D71" s="6" t="s">
        <v>40</v>
      </c>
      <c r="E71" s="3" t="e">
        <v>#REF!</v>
      </c>
      <c r="F71" s="80">
        <f t="shared" si="2"/>
        <v>0</v>
      </c>
    </row>
    <row r="72" spans="1:13" s="10" customFormat="1" x14ac:dyDescent="0.25">
      <c r="A72" s="21" t="s">
        <v>47</v>
      </c>
      <c r="B72" s="35">
        <v>155</v>
      </c>
      <c r="C72" s="35">
        <f>640+500+260+300</f>
        <v>1700</v>
      </c>
      <c r="D72" s="6" t="s">
        <v>40</v>
      </c>
      <c r="E72" s="3" t="e">
        <v>#REF!</v>
      </c>
      <c r="F72" s="80">
        <f t="shared" si="2"/>
        <v>9.1176470588235289E-2</v>
      </c>
      <c r="H72"/>
      <c r="J72"/>
      <c r="K72"/>
      <c r="L72"/>
      <c r="M72"/>
    </row>
    <row r="73" spans="1:13" s="10" customFormat="1" x14ac:dyDescent="0.25">
      <c r="A73" s="21" t="s">
        <v>48</v>
      </c>
      <c r="B73" s="35">
        <v>0</v>
      </c>
      <c r="C73" s="35">
        <f>245+495</f>
        <v>740</v>
      </c>
      <c r="D73" s="6"/>
      <c r="E73" s="14" t="e">
        <v>#REF!</v>
      </c>
      <c r="F73" s="80">
        <f t="shared" si="2"/>
        <v>0</v>
      </c>
      <c r="G73" s="2"/>
      <c r="H73"/>
      <c r="I73"/>
      <c r="J73"/>
      <c r="K73"/>
      <c r="L73"/>
      <c r="M73"/>
    </row>
    <row r="74" spans="1:13" s="10" customFormat="1" x14ac:dyDescent="0.25">
      <c r="A74" s="21" t="s">
        <v>45</v>
      </c>
      <c r="B74" s="35">
        <v>0</v>
      </c>
      <c r="C74" s="35">
        <f>350+180+450</f>
        <v>980</v>
      </c>
      <c r="D74" s="6"/>
      <c r="E74" s="3"/>
      <c r="F74" s="80">
        <f t="shared" si="2"/>
        <v>0</v>
      </c>
      <c r="G74"/>
      <c r="I74"/>
      <c r="J74"/>
      <c r="K74"/>
      <c r="L74"/>
      <c r="M74"/>
    </row>
    <row r="75" spans="1:13" s="10" customFormat="1" x14ac:dyDescent="0.25">
      <c r="A75" s="21" t="s">
        <v>34</v>
      </c>
      <c r="B75" s="35">
        <v>1465</v>
      </c>
      <c r="C75" s="35">
        <f>88+76</f>
        <v>164</v>
      </c>
      <c r="D75" s="6"/>
      <c r="E75" s="3"/>
      <c r="F75" s="80">
        <f t="shared" si="2"/>
        <v>8.9329268292682933</v>
      </c>
      <c r="G75"/>
      <c r="H75"/>
      <c r="I75"/>
      <c r="J75"/>
      <c r="K75"/>
      <c r="L75"/>
      <c r="M75"/>
    </row>
    <row r="76" spans="1:13" s="10" customFormat="1" ht="13.5" customHeight="1" x14ac:dyDescent="0.25">
      <c r="A76" s="20" t="s">
        <v>31</v>
      </c>
      <c r="B76" s="35">
        <v>752</v>
      </c>
      <c r="C76" s="35">
        <v>60</v>
      </c>
      <c r="D76" s="6" t="s">
        <v>39</v>
      </c>
      <c r="E76" s="3" t="e">
        <v>#REF!</v>
      </c>
      <c r="F76" s="80">
        <f t="shared" si="2"/>
        <v>12.533333333333333</v>
      </c>
      <c r="G76"/>
      <c r="I76"/>
      <c r="J76"/>
      <c r="K76"/>
      <c r="L76"/>
      <c r="M76"/>
    </row>
    <row r="77" spans="1:13" s="10" customFormat="1" ht="13.5" customHeight="1" x14ac:dyDescent="0.25">
      <c r="A77" s="20" t="s">
        <v>124</v>
      </c>
      <c r="B77" s="35">
        <v>28</v>
      </c>
      <c r="C77" s="35">
        <f>6+30</f>
        <v>36</v>
      </c>
      <c r="D77" s="6"/>
      <c r="E77" s="3"/>
      <c r="F77" s="80">
        <f t="shared" si="2"/>
        <v>0.77777777777777779</v>
      </c>
      <c r="G77"/>
      <c r="I77"/>
      <c r="J77"/>
      <c r="K77"/>
      <c r="L77"/>
      <c r="M77"/>
    </row>
    <row r="78" spans="1:13" s="10" customFormat="1" ht="13.5" customHeight="1" x14ac:dyDescent="0.25">
      <c r="A78" s="21" t="s">
        <v>33</v>
      </c>
      <c r="B78" s="36">
        <v>78</v>
      </c>
      <c r="C78" s="36">
        <f>280+320+75</f>
        <v>675</v>
      </c>
      <c r="D78" s="6"/>
      <c r="E78" s="3" t="e">
        <v>#REF!</v>
      </c>
      <c r="F78" s="80">
        <f t="shared" si="2"/>
        <v>0.11555555555555555</v>
      </c>
      <c r="G78"/>
      <c r="I78"/>
      <c r="J78"/>
      <c r="K78"/>
      <c r="L78"/>
      <c r="M78"/>
    </row>
    <row r="79" spans="1:13" s="10" customFormat="1" x14ac:dyDescent="0.25">
      <c r="A79" s="19" t="s">
        <v>44</v>
      </c>
      <c r="B79" s="35">
        <v>1</v>
      </c>
      <c r="C79" s="35">
        <v>96</v>
      </c>
      <c r="D79" s="8" t="s">
        <v>40</v>
      </c>
      <c r="E79" s="37" t="e">
        <v>#REF!</v>
      </c>
      <c r="F79" s="80">
        <f t="shared" si="2"/>
        <v>1.0416666666666666E-2</v>
      </c>
      <c r="G79"/>
      <c r="H79"/>
      <c r="I79"/>
      <c r="J79"/>
      <c r="K79"/>
      <c r="L79"/>
      <c r="M79"/>
    </row>
    <row r="80" spans="1:13" x14ac:dyDescent="0.25">
      <c r="A80" s="21" t="s">
        <v>71</v>
      </c>
      <c r="B80" s="35">
        <v>25</v>
      </c>
      <c r="C80" s="35">
        <v>150</v>
      </c>
      <c r="D80" s="6" t="s">
        <v>40</v>
      </c>
      <c r="E80" s="3" t="e">
        <v>#REF!</v>
      </c>
      <c r="F80" s="80">
        <f t="shared" si="2"/>
        <v>0.16666666666666666</v>
      </c>
      <c r="H80" s="10"/>
      <c r="J80" s="10"/>
      <c r="K80" s="10"/>
      <c r="L80" s="10"/>
      <c r="M80" s="10"/>
    </row>
    <row r="81" spans="1:13" x14ac:dyDescent="0.25">
      <c r="A81" s="21" t="s">
        <v>62</v>
      </c>
      <c r="B81" s="35">
        <v>0</v>
      </c>
      <c r="C81" s="35">
        <f>270+549+810</f>
        <v>1629</v>
      </c>
      <c r="D81" s="6" t="s">
        <v>39</v>
      </c>
      <c r="E81" s="3" t="e">
        <v>#REF!</v>
      </c>
      <c r="F81" s="80">
        <f t="shared" si="2"/>
        <v>0</v>
      </c>
    </row>
    <row r="82" spans="1:13" x14ac:dyDescent="0.25">
      <c r="A82" s="21" t="s">
        <v>123</v>
      </c>
      <c r="B82" s="35">
        <v>0</v>
      </c>
      <c r="C82" s="35">
        <v>180</v>
      </c>
      <c r="D82" s="6"/>
      <c r="E82" s="3"/>
      <c r="F82" s="80">
        <f t="shared" si="2"/>
        <v>0</v>
      </c>
    </row>
    <row r="83" spans="1:13" x14ac:dyDescent="0.25">
      <c r="A83" s="21" t="s">
        <v>109</v>
      </c>
      <c r="B83" s="36">
        <v>3</v>
      </c>
      <c r="C83" s="36">
        <v>5</v>
      </c>
      <c r="D83" s="6"/>
      <c r="E83" s="3"/>
      <c r="F83" s="80">
        <f t="shared" si="2"/>
        <v>0.6</v>
      </c>
      <c r="G83" s="2"/>
      <c r="I83" s="10"/>
    </row>
    <row r="84" spans="1:13" x14ac:dyDescent="0.25">
      <c r="A84" s="20" t="s">
        <v>30</v>
      </c>
      <c r="B84" s="35">
        <v>0</v>
      </c>
      <c r="C84" s="35">
        <v>200</v>
      </c>
      <c r="D84" s="4" t="s">
        <v>40</v>
      </c>
      <c r="E84" s="5" t="e">
        <v>#REF!</v>
      </c>
      <c r="F84" s="80">
        <f t="shared" si="2"/>
        <v>0</v>
      </c>
      <c r="G84" s="2"/>
      <c r="I84" s="10"/>
    </row>
    <row r="85" spans="1:13" x14ac:dyDescent="0.25">
      <c r="A85" s="22" t="s">
        <v>63</v>
      </c>
      <c r="B85" s="35">
        <v>0</v>
      </c>
      <c r="C85" s="35">
        <f>180+360+258</f>
        <v>798</v>
      </c>
      <c r="D85" s="6"/>
      <c r="E85" s="3" t="e">
        <v>#REF!</v>
      </c>
      <c r="F85" s="80">
        <f t="shared" si="2"/>
        <v>0</v>
      </c>
      <c r="G85" s="2"/>
      <c r="I85" s="10"/>
    </row>
    <row r="86" spans="1:13" x14ac:dyDescent="0.25">
      <c r="A86" s="21" t="s">
        <v>112</v>
      </c>
      <c r="B86" s="35">
        <v>3241</v>
      </c>
      <c r="C86" s="35">
        <v>61</v>
      </c>
      <c r="D86" s="6"/>
      <c r="E86" s="3"/>
      <c r="F86" s="80">
        <f t="shared" si="2"/>
        <v>53.131147540983605</v>
      </c>
    </row>
    <row r="87" spans="1:13" ht="15.75" x14ac:dyDescent="0.25">
      <c r="A87" s="16" t="s">
        <v>38</v>
      </c>
      <c r="B87" s="17">
        <f>SUM(B4:B86)</f>
        <v>123132</v>
      </c>
      <c r="C87" s="17">
        <f>SUM(C4:C86)</f>
        <v>34515</v>
      </c>
      <c r="D87" s="18"/>
      <c r="E87" s="3" t="e">
        <f>B87/#REF!</f>
        <v>#REF!</v>
      </c>
      <c r="F87" s="80">
        <f>B87/C87</f>
        <v>3.5674923946110386</v>
      </c>
    </row>
    <row r="88" spans="1:13" x14ac:dyDescent="0.25">
      <c r="A88" s="46" t="s">
        <v>50</v>
      </c>
      <c r="B88" s="68"/>
      <c r="C88" s="69"/>
      <c r="D88" s="69"/>
      <c r="E88" s="69"/>
      <c r="F88" s="70"/>
    </row>
    <row r="89" spans="1:13" x14ac:dyDescent="0.25">
      <c r="A89" s="46" t="s">
        <v>51</v>
      </c>
      <c r="B89" s="71"/>
      <c r="C89" s="72"/>
      <c r="D89" s="72"/>
      <c r="E89" s="72"/>
      <c r="F89" s="73"/>
    </row>
    <row r="90" spans="1:13" x14ac:dyDescent="0.25">
      <c r="A90" s="46" t="s">
        <v>52</v>
      </c>
      <c r="B90" s="52"/>
      <c r="C90" s="53"/>
      <c r="D90" s="53"/>
      <c r="E90" s="53"/>
      <c r="F90" s="54"/>
    </row>
    <row r="91" spans="1:13" x14ac:dyDescent="0.25">
      <c r="A91" s="46" t="s">
        <v>53</v>
      </c>
      <c r="B91" s="55"/>
      <c r="C91" s="56"/>
      <c r="D91" s="56"/>
      <c r="E91" s="56"/>
      <c r="F91" s="57"/>
      <c r="J91" s="13">
        <v>13258</v>
      </c>
      <c r="M91" s="39"/>
    </row>
    <row r="92" spans="1:13" ht="15.75" thickBot="1" x14ac:dyDescent="0.3">
      <c r="A92" s="47" t="s">
        <v>54</v>
      </c>
      <c r="B92" s="58"/>
      <c r="C92" s="59"/>
      <c r="D92" s="59"/>
      <c r="E92" s="59"/>
      <c r="F92" s="60"/>
      <c r="J92" s="13">
        <f>SUM(J91/6)</f>
        <v>2209.6666666666665</v>
      </c>
    </row>
    <row r="93" spans="1:13" ht="15.75" thickTop="1" x14ac:dyDescent="0.25"/>
  </sheetData>
  <sortState ref="A25:F85">
    <sortCondition descending="1" ref="F25:F85"/>
  </sortState>
  <mergeCells count="9">
    <mergeCell ref="L19:L22"/>
    <mergeCell ref="B90:F90"/>
    <mergeCell ref="B91:F91"/>
    <mergeCell ref="B92:F92"/>
    <mergeCell ref="A1:F2"/>
    <mergeCell ref="C19:C22"/>
    <mergeCell ref="F19:F22"/>
    <mergeCell ref="B88:F88"/>
    <mergeCell ref="B89:F89"/>
  </mergeCells>
  <conditionalFormatting sqref="F4:F19 F23:F87">
    <cfRule type="cellIs" dxfId="4" priority="6" stopIfTrue="1" operator="between">
      <formula>3.6</formula>
      <formula>4.5</formula>
    </cfRule>
    <cfRule type="cellIs" dxfId="3" priority="7" stopIfTrue="1" operator="greaterThanOrEqual">
      <formula>4.51</formula>
    </cfRule>
    <cfRule type="cellIs" dxfId="2" priority="8" stopIfTrue="1" operator="between">
      <formula>2</formula>
      <formula>3.5</formula>
    </cfRule>
    <cfRule type="cellIs" dxfId="1" priority="9" stopIfTrue="1" operator="between">
      <formula>1</formula>
      <formula>2</formula>
    </cfRule>
    <cfRule type="cellIs" dxfId="0" priority="10" stopIfTrue="1" operator="between">
      <formula>0</formula>
      <formula>0.99</formula>
    </cfRule>
  </conditionalFormatting>
  <printOptions horizontalCentered="1"/>
  <pageMargins left="0.51181102362204722" right="0.51181102362204722" top="0.78740157480314965" bottom="0.78740157480314965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topLeftCell="A16" workbookViewId="0">
      <selection activeCell="D37" sqref="D37"/>
    </sheetView>
  </sheetViews>
  <sheetFormatPr defaultColWidth="9.140625" defaultRowHeight="15" x14ac:dyDescent="0.25"/>
  <cols>
    <col min="1" max="1" width="60.5703125" bestFit="1" customWidth="1"/>
    <col min="2" max="2" width="10.7109375" bestFit="1" customWidth="1"/>
  </cols>
  <sheetData>
    <row r="1" spans="1:2" ht="15" customHeight="1" thickTop="1" x14ac:dyDescent="0.25">
      <c r="A1" s="74" t="s">
        <v>127</v>
      </c>
      <c r="B1" s="75"/>
    </row>
    <row r="2" spans="1:2" ht="15" customHeight="1" x14ac:dyDescent="0.25">
      <c r="A2" s="76"/>
      <c r="B2" s="77"/>
    </row>
    <row r="3" spans="1:2" x14ac:dyDescent="0.25">
      <c r="A3" s="78" t="s">
        <v>80</v>
      </c>
      <c r="B3" s="79"/>
    </row>
    <row r="4" spans="1:2" x14ac:dyDescent="0.25">
      <c r="A4" s="24" t="s">
        <v>81</v>
      </c>
      <c r="B4" s="25" t="s">
        <v>82</v>
      </c>
    </row>
    <row r="5" spans="1:2" x14ac:dyDescent="0.25">
      <c r="A5" s="26" t="s">
        <v>99</v>
      </c>
      <c r="B5" s="27">
        <v>7</v>
      </c>
    </row>
    <row r="6" spans="1:2" x14ac:dyDescent="0.25">
      <c r="A6" s="26" t="s">
        <v>100</v>
      </c>
      <c r="B6" s="27">
        <v>1976</v>
      </c>
    </row>
    <row r="7" spans="1:2" x14ac:dyDescent="0.25">
      <c r="A7" s="26" t="s">
        <v>101</v>
      </c>
      <c r="B7" s="27">
        <v>41</v>
      </c>
    </row>
    <row r="8" spans="1:2" x14ac:dyDescent="0.25">
      <c r="A8" s="26" t="s">
        <v>102</v>
      </c>
      <c r="B8" s="27">
        <v>48</v>
      </c>
    </row>
    <row r="9" spans="1:2" x14ac:dyDescent="0.25">
      <c r="A9" s="26" t="s">
        <v>103</v>
      </c>
      <c r="B9" s="27">
        <v>210</v>
      </c>
    </row>
    <row r="10" spans="1:2" x14ac:dyDescent="0.25">
      <c r="A10" s="26" t="s">
        <v>83</v>
      </c>
      <c r="B10" s="27">
        <v>350</v>
      </c>
    </row>
    <row r="11" spans="1:2" x14ac:dyDescent="0.25">
      <c r="A11" s="26" t="s">
        <v>84</v>
      </c>
      <c r="B11" s="27">
        <v>960</v>
      </c>
    </row>
    <row r="12" spans="1:2" x14ac:dyDescent="0.25">
      <c r="A12" s="26" t="s">
        <v>85</v>
      </c>
      <c r="B12" s="27">
        <v>691</v>
      </c>
    </row>
    <row r="13" spans="1:2" x14ac:dyDescent="0.25">
      <c r="A13" s="26" t="s">
        <v>125</v>
      </c>
      <c r="B13" s="27">
        <v>4</v>
      </c>
    </row>
    <row r="14" spans="1:2" x14ac:dyDescent="0.25">
      <c r="A14" s="28" t="s">
        <v>86</v>
      </c>
      <c r="B14" s="29">
        <f>SUM(B5:B13)</f>
        <v>4287</v>
      </c>
    </row>
    <row r="15" spans="1:2" x14ac:dyDescent="0.25">
      <c r="A15" s="26"/>
      <c r="B15" s="30"/>
    </row>
    <row r="16" spans="1:2" x14ac:dyDescent="0.25">
      <c r="A16" s="78" t="s">
        <v>87</v>
      </c>
      <c r="B16" s="79"/>
    </row>
    <row r="17" spans="1:2" x14ac:dyDescent="0.25">
      <c r="A17" s="24" t="s">
        <v>81</v>
      </c>
      <c r="B17" s="25" t="s">
        <v>82</v>
      </c>
    </row>
    <row r="18" spans="1:2" x14ac:dyDescent="0.25">
      <c r="A18" s="26" t="s">
        <v>88</v>
      </c>
      <c r="B18" s="27">
        <v>194</v>
      </c>
    </row>
    <row r="19" spans="1:2" x14ac:dyDescent="0.25">
      <c r="A19" s="26" t="s">
        <v>89</v>
      </c>
      <c r="B19" s="27">
        <v>1099</v>
      </c>
    </row>
    <row r="20" spans="1:2" x14ac:dyDescent="0.25">
      <c r="A20" s="26" t="s">
        <v>90</v>
      </c>
      <c r="B20" s="27">
        <v>1660</v>
      </c>
    </row>
    <row r="21" spans="1:2" x14ac:dyDescent="0.25">
      <c r="A21" s="26" t="s">
        <v>83</v>
      </c>
      <c r="B21" s="27">
        <v>421</v>
      </c>
    </row>
    <row r="22" spans="1:2" x14ac:dyDescent="0.25">
      <c r="A22" s="26" t="s">
        <v>84</v>
      </c>
      <c r="B22" s="27">
        <v>1653</v>
      </c>
    </row>
    <row r="23" spans="1:2" x14ac:dyDescent="0.25">
      <c r="A23" s="26" t="s">
        <v>95</v>
      </c>
      <c r="B23" s="27">
        <v>86</v>
      </c>
    </row>
    <row r="24" spans="1:2" x14ac:dyDescent="0.25">
      <c r="A24" s="26" t="s">
        <v>96</v>
      </c>
      <c r="B24" s="27">
        <v>456</v>
      </c>
    </row>
    <row r="25" spans="1:2" x14ac:dyDescent="0.25">
      <c r="A25" s="26" t="s">
        <v>91</v>
      </c>
      <c r="B25" s="27">
        <v>3093</v>
      </c>
    </row>
    <row r="26" spans="1:2" x14ac:dyDescent="0.25">
      <c r="A26" s="26" t="s">
        <v>104</v>
      </c>
      <c r="B26" s="27">
        <v>27</v>
      </c>
    </row>
    <row r="27" spans="1:2" x14ac:dyDescent="0.25">
      <c r="A27" s="26" t="s">
        <v>92</v>
      </c>
      <c r="B27" s="27">
        <v>549</v>
      </c>
    </row>
    <row r="28" spans="1:2" x14ac:dyDescent="0.25">
      <c r="A28" s="28" t="s">
        <v>86</v>
      </c>
      <c r="B28" s="29">
        <f>SUM(B18:B27)</f>
        <v>9238</v>
      </c>
    </row>
    <row r="29" spans="1:2" x14ac:dyDescent="0.25">
      <c r="A29" s="26"/>
      <c r="B29" s="30"/>
    </row>
    <row r="30" spans="1:2" x14ac:dyDescent="0.25">
      <c r="A30" s="78" t="s">
        <v>93</v>
      </c>
      <c r="B30" s="79"/>
    </row>
    <row r="31" spans="1:2" x14ac:dyDescent="0.25">
      <c r="A31" s="24" t="s">
        <v>81</v>
      </c>
      <c r="B31" s="25" t="s">
        <v>82</v>
      </c>
    </row>
    <row r="32" spans="1:2" x14ac:dyDescent="0.25">
      <c r="A32" s="26" t="s">
        <v>105</v>
      </c>
      <c r="B32" s="27">
        <v>484</v>
      </c>
    </row>
    <row r="33" spans="1:2" x14ac:dyDescent="0.25">
      <c r="A33" s="26" t="s">
        <v>106</v>
      </c>
      <c r="B33" s="27">
        <v>4576</v>
      </c>
    </row>
    <row r="34" spans="1:2" x14ac:dyDescent="0.25">
      <c r="A34" s="26" t="s">
        <v>107</v>
      </c>
      <c r="B34" s="27">
        <v>1290</v>
      </c>
    </row>
    <row r="35" spans="1:2" x14ac:dyDescent="0.25">
      <c r="A35" s="26" t="s">
        <v>94</v>
      </c>
      <c r="B35" s="27">
        <v>489</v>
      </c>
    </row>
    <row r="36" spans="1:2" x14ac:dyDescent="0.25">
      <c r="A36" s="26" t="s">
        <v>89</v>
      </c>
      <c r="B36" s="27">
        <v>2630</v>
      </c>
    </row>
    <row r="37" spans="1:2" x14ac:dyDescent="0.25">
      <c r="A37" s="26" t="s">
        <v>95</v>
      </c>
      <c r="B37" s="27">
        <v>175</v>
      </c>
    </row>
    <row r="38" spans="1:2" x14ac:dyDescent="0.25">
      <c r="A38" s="26" t="s">
        <v>96</v>
      </c>
      <c r="B38" s="27">
        <v>1536</v>
      </c>
    </row>
    <row r="39" spans="1:2" x14ac:dyDescent="0.25">
      <c r="A39" s="26" t="s">
        <v>108</v>
      </c>
      <c r="B39" s="27">
        <v>4786</v>
      </c>
    </row>
    <row r="40" spans="1:2" x14ac:dyDescent="0.25">
      <c r="A40" s="26" t="s">
        <v>97</v>
      </c>
      <c r="B40" s="27">
        <v>3529</v>
      </c>
    </row>
    <row r="41" spans="1:2" x14ac:dyDescent="0.25">
      <c r="A41" s="28" t="s">
        <v>86</v>
      </c>
      <c r="B41" s="29">
        <f>SUM(B31:B40)</f>
        <v>19495</v>
      </c>
    </row>
    <row r="42" spans="1:2" x14ac:dyDescent="0.25">
      <c r="A42" s="31"/>
      <c r="B42" s="30"/>
    </row>
    <row r="43" spans="1:2" s="34" customFormat="1" ht="24" thickBot="1" x14ac:dyDescent="0.4">
      <c r="A43" s="32" t="s">
        <v>98</v>
      </c>
      <c r="B43" s="33">
        <f>SUM(B41,B28,B14)</f>
        <v>33020</v>
      </c>
    </row>
    <row r="44" spans="1:2" ht="15.75" thickTop="1" x14ac:dyDescent="0.25"/>
  </sheetData>
  <mergeCells count="4">
    <mergeCell ref="A1:B2"/>
    <mergeCell ref="A3:B3"/>
    <mergeCell ref="A16:B16"/>
    <mergeCell ref="A30:B3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1"/>
  <sheetViews>
    <sheetView workbookViewId="0">
      <selection activeCell="E20" sqref="E20"/>
    </sheetView>
  </sheetViews>
  <sheetFormatPr defaultRowHeight="15" x14ac:dyDescent="0.25"/>
  <cols>
    <col min="1" max="1" width="38.7109375" bestFit="1" customWidth="1"/>
  </cols>
  <sheetData>
    <row r="3" spans="1:2" x14ac:dyDescent="0.25">
      <c r="A3" s="26" t="s">
        <v>83</v>
      </c>
      <c r="B3" s="27">
        <v>263</v>
      </c>
    </row>
    <row r="4" spans="1:2" x14ac:dyDescent="0.25">
      <c r="A4" s="26" t="s">
        <v>84</v>
      </c>
      <c r="B4" s="27">
        <v>664</v>
      </c>
    </row>
    <row r="5" spans="1:2" x14ac:dyDescent="0.25">
      <c r="A5" s="26" t="s">
        <v>85</v>
      </c>
      <c r="B5" s="27">
        <v>438</v>
      </c>
    </row>
    <row r="6" spans="1:2" x14ac:dyDescent="0.25">
      <c r="A6" s="26" t="s">
        <v>90</v>
      </c>
      <c r="B6" s="27">
        <v>1266</v>
      </c>
    </row>
    <row r="7" spans="1:2" x14ac:dyDescent="0.25">
      <c r="A7" s="26" t="s">
        <v>83</v>
      </c>
      <c r="B7" s="27">
        <v>350</v>
      </c>
    </row>
    <row r="8" spans="1:2" x14ac:dyDescent="0.25">
      <c r="A8" s="26" t="s">
        <v>84</v>
      </c>
      <c r="B8" s="27">
        <v>1319</v>
      </c>
    </row>
    <row r="9" spans="1:2" x14ac:dyDescent="0.25">
      <c r="A9" s="26" t="s">
        <v>108</v>
      </c>
      <c r="B9" s="27">
        <v>3686</v>
      </c>
    </row>
    <row r="10" spans="1:2" x14ac:dyDescent="0.25">
      <c r="A10" s="26" t="s">
        <v>97</v>
      </c>
      <c r="B10" s="27">
        <v>2668</v>
      </c>
    </row>
    <row r="11" spans="1:2" x14ac:dyDescent="0.25">
      <c r="A11" s="26" t="s">
        <v>38</v>
      </c>
      <c r="B11">
        <f>SUM(B3:B10)</f>
        <v>10654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Fila de espera rede</vt:lpstr>
      <vt:lpstr>CENTROS de REAB</vt:lpstr>
      <vt:lpstr>Planilha1</vt:lpstr>
      <vt:lpstr>'Fila de espera rede'!Area_de_impressao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CEREST-9</dc:creator>
  <cp:lastModifiedBy>Regulação</cp:lastModifiedBy>
  <cp:lastPrinted>2024-05-16T17:25:14Z</cp:lastPrinted>
  <dcterms:created xsi:type="dcterms:W3CDTF">2019-02-01T13:57:28Z</dcterms:created>
  <dcterms:modified xsi:type="dcterms:W3CDTF">2025-04-30T18:14:57Z</dcterms:modified>
</cp:coreProperties>
</file>